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Y:\2017 Budget-spend plan\"/>
    </mc:Choice>
  </mc:AlternateContent>
  <bookViews>
    <workbookView xWindow="0" yWindow="900" windowWidth="26730" windowHeight="10425" xr2:uid="{00000000-000D-0000-FFFF-FFFF00000000}"/>
  </bookViews>
  <sheets>
    <sheet name="2017SpendPlan" sheetId="1" r:id="rId1"/>
    <sheet name="BackgroundInformation" sheetId="2" r:id="rId2"/>
  </sheets>
  <definedNames>
    <definedName name="Green_are_actuals">'2017SpendPlan'!$B$2</definedName>
    <definedName name="_xlnm.Print_Area" localSheetId="0">'2017SpendPlan'!$B$1:$T$66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" l="1"/>
  <c r="N65" i="1"/>
  <c r="N33" i="1" l="1"/>
  <c r="N52" i="1"/>
  <c r="O51" i="1"/>
  <c r="O47" i="1" l="1"/>
  <c r="O8" i="1"/>
  <c r="N48" i="1" l="1"/>
  <c r="N47" i="1"/>
  <c r="O9" i="1"/>
  <c r="O34" i="1" l="1"/>
  <c r="O28" i="1"/>
  <c r="N26" i="1"/>
  <c r="N27" i="1"/>
  <c r="N23" i="1"/>
  <c r="N61" i="1" l="1"/>
  <c r="O13" i="1"/>
  <c r="S47" i="1" l="1"/>
  <c r="S25" i="1"/>
  <c r="S13" i="1"/>
  <c r="S12" i="1"/>
  <c r="S11" i="1"/>
  <c r="S10" i="1"/>
  <c r="S9" i="1"/>
  <c r="S8" i="1"/>
  <c r="S7" i="1"/>
  <c r="S6" i="1"/>
  <c r="S34" i="1"/>
  <c r="S30" i="1"/>
  <c r="S21" i="1"/>
  <c r="O24" i="1"/>
  <c r="M48" i="1" l="1"/>
  <c r="M47" i="1"/>
  <c r="T59" i="1" l="1"/>
  <c r="Q59" i="1"/>
  <c r="L63" i="1"/>
  <c r="Q48" i="1" l="1"/>
  <c r="L48" i="1" l="1"/>
  <c r="L41" i="1" l="1"/>
  <c r="K26" i="1" l="1"/>
  <c r="S39" i="1" l="1"/>
  <c r="S38" i="1"/>
  <c r="S37" i="1"/>
  <c r="S36" i="1"/>
  <c r="O29" i="1" l="1"/>
  <c r="K48" i="1" l="1"/>
  <c r="J48" i="1" l="1"/>
  <c r="S35" i="1" l="1"/>
  <c r="S31" i="1"/>
  <c r="Q38" i="1" l="1"/>
  <c r="R38" i="1" s="1"/>
  <c r="T38" i="1" s="1"/>
  <c r="Q37" i="1"/>
  <c r="R37" i="1" s="1"/>
  <c r="T37" i="1" s="1"/>
  <c r="I48" i="1" l="1"/>
  <c r="D62" i="1" l="1"/>
  <c r="H48" i="1" l="1"/>
  <c r="H36" i="1"/>
  <c r="H20" i="1" l="1"/>
  <c r="G48" i="1" l="1"/>
  <c r="G47" i="1" l="1"/>
  <c r="H60" i="1"/>
  <c r="E48" i="1" l="1"/>
  <c r="F48" i="1"/>
  <c r="G60" i="1"/>
  <c r="F60" i="1"/>
  <c r="D41" i="1"/>
  <c r="D63" i="1" s="1"/>
  <c r="D65" i="1" s="1"/>
  <c r="E62" i="1"/>
  <c r="F47" i="1" l="1"/>
  <c r="F20" i="1" l="1"/>
  <c r="F62" i="1" l="1"/>
  <c r="G62" i="1" s="1"/>
  <c r="H62" i="1" s="1"/>
  <c r="I62" i="1" s="1"/>
  <c r="J62" i="1" s="1"/>
  <c r="T21" i="1"/>
  <c r="Q31" i="1"/>
  <c r="R31" i="1" s="1"/>
  <c r="T31" i="1" s="1"/>
  <c r="O41" i="1"/>
  <c r="O52" i="1" s="1"/>
  <c r="N41" i="1"/>
  <c r="M41" i="1"/>
  <c r="J41" i="1"/>
  <c r="J63" i="1" s="1"/>
  <c r="I41" i="1"/>
  <c r="I63" i="1" s="1"/>
  <c r="H41" i="1"/>
  <c r="H63" i="1" s="1"/>
  <c r="F41" i="1"/>
  <c r="F63" i="1" s="1"/>
  <c r="E41" i="1"/>
  <c r="E63" i="1" s="1"/>
  <c r="E65" i="1" s="1"/>
  <c r="M63" i="1" l="1"/>
  <c r="F65" i="1"/>
  <c r="E52" i="1"/>
  <c r="G41" i="1"/>
  <c r="G63" i="1" s="1"/>
  <c r="G65" i="1" l="1"/>
  <c r="K41" i="1"/>
  <c r="K63" i="1" s="1"/>
  <c r="F31" i="2" l="1"/>
  <c r="F33" i="2" s="1"/>
  <c r="Q7" i="1"/>
  <c r="T7" i="1" s="1"/>
  <c r="Q8" i="1"/>
  <c r="T8" i="1" s="1"/>
  <c r="Q9" i="1"/>
  <c r="T9" i="1" s="1"/>
  <c r="Q10" i="1"/>
  <c r="T10" i="1" s="1"/>
  <c r="Q11" i="1"/>
  <c r="T11" i="1" s="1"/>
  <c r="Q12" i="1"/>
  <c r="T12" i="1" s="1"/>
  <c r="Q13" i="1"/>
  <c r="T13" i="1" s="1"/>
  <c r="Q6" i="1"/>
  <c r="T6" i="1" s="1"/>
  <c r="F27" i="2" l="1"/>
  <c r="F24" i="2"/>
  <c r="F23" i="2"/>
  <c r="F22" i="2"/>
  <c r="F7" i="2"/>
  <c r="D5" i="2"/>
  <c r="F5" i="2" s="1"/>
  <c r="C5" i="2"/>
  <c r="B5" i="2"/>
  <c r="D3" i="2"/>
  <c r="F3" i="2" s="1"/>
  <c r="G3" i="2" s="1"/>
  <c r="Q34" i="1"/>
  <c r="Q35" i="1"/>
  <c r="R35" i="1" s="1"/>
  <c r="T35" i="1" s="1"/>
  <c r="Q36" i="1"/>
  <c r="R36" i="1" s="1"/>
  <c r="T36" i="1" s="1"/>
  <c r="Q39" i="1"/>
  <c r="R39" i="1" s="1"/>
  <c r="T39" i="1" s="1"/>
  <c r="G23" i="2" l="1"/>
  <c r="Q32" i="1"/>
  <c r="Q33" i="1"/>
  <c r="R34" i="1" l="1"/>
  <c r="T34" i="1" s="1"/>
  <c r="K55" i="1"/>
  <c r="H55" i="1" l="1"/>
  <c r="Q47" i="1"/>
  <c r="V55" i="1" l="1"/>
  <c r="T47" i="1"/>
  <c r="O63" i="1"/>
  <c r="Q14" i="1"/>
  <c r="Q63" i="1" l="1"/>
  <c r="Q52" i="1"/>
  <c r="O14" i="1"/>
  <c r="K14" i="1"/>
  <c r="K51" i="1" s="1"/>
  <c r="G14" i="1"/>
  <c r="G51" i="1" s="1"/>
  <c r="M14" i="1"/>
  <c r="I14" i="1"/>
  <c r="E14" i="1"/>
  <c r="E51" i="1" s="1"/>
  <c r="N14" i="1"/>
  <c r="J14" i="1"/>
  <c r="J51" i="1" s="1"/>
  <c r="F14" i="1"/>
  <c r="F51" i="1" s="1"/>
  <c r="D14" i="1"/>
  <c r="D51" i="1" s="1"/>
  <c r="D54" i="1" s="1"/>
  <c r="L14" i="1"/>
  <c r="L51" i="1" s="1"/>
  <c r="H14" i="1"/>
  <c r="H51" i="1" s="1"/>
  <c r="Q29" i="1"/>
  <c r="Q30" i="1"/>
  <c r="Q28" i="1"/>
  <c r="Q27" i="1"/>
  <c r="Q26" i="1"/>
  <c r="Q25" i="1"/>
  <c r="Q23" i="1"/>
  <c r="Q24" i="1"/>
  <c r="Q22" i="1"/>
  <c r="Q20" i="1"/>
  <c r="Q21" i="1"/>
  <c r="N51" i="1" l="1"/>
  <c r="S14" i="1"/>
  <c r="M51" i="1"/>
  <c r="I51" i="1"/>
  <c r="H65" i="1"/>
  <c r="I65" i="1" s="1"/>
  <c r="E54" i="1"/>
  <c r="R25" i="1"/>
  <c r="T25" i="1" s="1"/>
  <c r="R30" i="1"/>
  <c r="T30" i="1" s="1"/>
  <c r="Q51" i="1" l="1"/>
  <c r="J65" i="1"/>
  <c r="K65" i="1" s="1"/>
  <c r="F54" i="1"/>
  <c r="G54" i="1" s="1"/>
  <c r="H54" i="1" s="1"/>
  <c r="I54" i="1" s="1"/>
  <c r="Q41" i="1"/>
  <c r="L65" i="1" l="1"/>
  <c r="J54" i="1"/>
  <c r="K54" i="1" s="1"/>
  <c r="L54" i="1" s="1"/>
  <c r="M65" i="1" l="1"/>
  <c r="O65" i="1" s="1"/>
  <c r="M54" i="1"/>
  <c r="O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  <author>William Neal</author>
    <author>James Clancy</author>
    <author>Laura</author>
  </authors>
  <commentList>
    <comment ref="R2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*Budgeted amt $107,801
</t>
        </r>
      </text>
    </comment>
    <comment ref="K2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William Neal:</t>
        </r>
        <r>
          <rPr>
            <sz val="9"/>
            <color indexed="81"/>
            <rFont val="Tahoma"/>
            <family val="2"/>
          </rPr>
          <t xml:space="preserve">
Approval Submittal</t>
        </r>
      </text>
    </comment>
    <comment ref="N28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William Neal:</t>
        </r>
        <r>
          <rPr>
            <sz val="9"/>
            <color indexed="81"/>
            <rFont val="Tahoma"/>
            <family val="2"/>
          </rPr>
          <t xml:space="preserve">
Building Permit - Pacific County</t>
        </r>
      </text>
    </comment>
    <comment ref="O28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William Neal:</t>
        </r>
        <r>
          <rPr>
            <sz val="9"/>
            <color indexed="81"/>
            <rFont val="Tahoma"/>
            <family val="2"/>
          </rPr>
          <t xml:space="preserve">
DOH Project Approval + building permit
</t>
        </r>
      </text>
    </comment>
    <comment ref="O29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William Neal:</t>
        </r>
        <r>
          <rPr>
            <sz val="9"/>
            <color indexed="81"/>
            <rFont val="Tahoma"/>
            <family val="2"/>
          </rPr>
          <t xml:space="preserve">
Treatment Plant Building and Electrical</t>
        </r>
      </text>
    </comment>
    <comment ref="B4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Initial Balance includes approx $300,000 total D&amp;A pmts rec'd in Dec
</t>
        </r>
      </text>
    </comment>
    <comment ref="D48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Misc Income  $6903.00, Dec MIP wages reimbursed $ 955.00
</t>
        </r>
      </text>
    </comment>
    <comment ref="E48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Misc Inc $5768.00
Jan MIP wages reimb $1751.00
Wtr Mtr Refunds reimb
</t>
        </r>
      </text>
    </comment>
    <comment ref="F48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Misc Inc for March $23,739, Feb MIP &amp; WMR wages reimbursed $732.00 &amp; $7135.00, Feb Wtr Mtr Pmts xfr to Wtr Mtr acct  $3344.00, Reimb from Wtr Mtr Acct for exp $661.50</t>
        </r>
      </text>
    </comment>
    <comment ref="G48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Misc Rev $7831.71, Dept of Treas Ref $11.03, March WMR payroll costs reimb $6,193.93, misc fax/copy income
</t>
        </r>
      </text>
    </comment>
    <comment ref="H48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Misc Inc 7952.31, WMR April Payroll exp 6335.58
</t>
        </r>
      </text>
    </comment>
    <comment ref="I48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Misc Income, WMR May payroll reimbursed,less MIP Pmts rec'd, reimburse excess WMR &amp; MIP Wages from 2016 &amp; 2017 from audit, Jan &amp; Mar MIP Pmts reimb to MIP Acct, Feb MIP Pmts reimb to MIP Acct, Inv Costs reimb to MIP acct from January
</t>
        </r>
      </text>
    </comment>
    <comment ref="J48" authorId="0" shapeId="0" xr:uid="{00000000-0006-0000-0000-000013000000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Misc Inc $6794.06, June WMR Payroll reimb $5818.59</t>
        </r>
      </text>
    </comment>
    <comment ref="K48" authorId="0" shapeId="0" xr:uid="{F5AE47B9-6B16-4A76-9461-0077012E0713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Misc Op Income 18982.35, WMR payroll costs reimb 6576.00+ 368.25, Reimb from Cap Res for item paid from Ops 1438.47
</t>
        </r>
      </text>
    </comment>
    <comment ref="L48" authorId="0" shapeId="0" xr:uid="{6AC5FB42-C826-46F4-A7FB-B9665A07EAE3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Misc Inc $7010.96, Reimb Aug CTP payroll $8428.53, Reimb Aug MIP payroll $803.67, Reimb Portland Bolt debit card purch for CTP $1106.48 twice (2nd time in error) Reimb Penhall Drilling for CTP $3575.00 less $1,142.24 for amended exp
 </t>
        </r>
      </text>
    </comment>
    <comment ref="M48" authorId="0" shapeId="0" xr:uid="{C1B7AFD5-94B9-4EF4-B7D6-53DA85503F09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Misc Inc 13358.22 + Sept CTP payroll reimb 14350.54 less Aug MIP pmts rec'd 1541.96 less Remainder of expected Cap Assess pmts 8624.08
</t>
        </r>
      </text>
    </comment>
    <comment ref="N48" authorId="0" shapeId="0" xr:uid="{0E064D86-F602-4424-8073-60FF2206303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Misc Inc 8883.00, CTP Payroll for Oct 11738.86, WMR Oct Payroll 294.24, excess MIP funds 50,000
</t>
        </r>
      </text>
    </comment>
    <comment ref="D49" authorId="2" shapeId="0" xr:uid="{00000000-0006-0000-0000-000014000000}">
      <text>
        <r>
          <rPr>
            <b/>
            <sz val="9"/>
            <color indexed="81"/>
            <rFont val="Tahoma"/>
            <family val="2"/>
          </rPr>
          <t>James Clancy:</t>
        </r>
        <r>
          <rPr>
            <sz val="9"/>
            <color indexed="81"/>
            <rFont val="Tahoma"/>
            <family val="2"/>
          </rPr>
          <t xml:space="preserve">
Why was this zero in January?</t>
        </r>
      </text>
    </comment>
    <comment ref="K49" authorId="0" shapeId="0" xr:uid="{00000000-0006-0000-0000-000015000000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Remainder of projected (budget) Cap Assess from Dues
36,655.71 to Cap res, 8624.08 to WMR
</t>
        </r>
      </text>
    </comment>
    <comment ref="F5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bldg permit by Jeff Early</t>
        </r>
      </text>
    </comment>
    <comment ref="G5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Phase 1 of Mezzanine
</t>
        </r>
      </text>
    </comment>
    <comment ref="N52" authorId="0" shapeId="0" xr:uid="{388EC272-21FE-4FDE-A545-59FAB1678C6F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reimburse difference in amt auth to borrow from reserves compared to exp thru 10/2017.
</t>
        </r>
      </text>
    </comment>
    <comment ref="L53" authorId="0" shapeId="0" xr:uid="{F9E2D0EA-0B2B-469C-8EFB-C4D25E63D6DC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$200,000 to Raymond Fed, $150,000 to Key Bank, $150,000 to GWFCU  from Cap Res to reduce BOP balances
</t>
        </r>
      </text>
    </comment>
    <comment ref="M60" authorId="0" shapeId="0" xr:uid="{14D99E88-878D-4D95-9D18-E5F2DA6C7FF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Remainder of exp 2017 cap assess fees 
</t>
        </r>
      </text>
    </comment>
    <comment ref="O61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includes wtr mtr fees rec'd,expenses/deccomm/refunds, reimb overpd payroll to BOP Ops 2016, 2017
</t>
        </r>
      </text>
    </comment>
    <comment ref="I62" authorId="0" shapeId="0" xr:uid="{00000000-0006-0000-0000-000019000000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also includes overpd WMR payroll refunded from BOP Ops
</t>
        </r>
      </text>
    </comment>
    <comment ref="J62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also includes overpd WMR payroll refunded from BOP Ops
</t>
        </r>
      </text>
    </comment>
    <comment ref="K6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Reimb WMR funds  deposited in Cap Res acct;  99,176.92 Remainder of Projected (budget) WMR funds from Dues  8624.08  (total:  107,801) 
</t>
        </r>
      </text>
    </comment>
    <comment ref="G63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$1620 Jeff Early
</t>
        </r>
      </text>
    </comment>
    <comment ref="K63" authorId="0" shapeId="0" xr:uid="{00000000-0006-0000-0000-00001D000000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reimb WMR funds of Cap Assess dep to Cap Reserve in error (Jan - May)  99,176.92
Reimb Ops for Precision Rebar pd in error
</t>
        </r>
      </text>
    </comment>
    <comment ref="Q63" authorId="3" shapeId="0" xr:uid="{00000000-0006-0000-0000-00001E000000}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Now includes Nov
 through Dec
</t>
        </r>
      </text>
    </comment>
    <comment ref="L64" authorId="0" shapeId="0" xr:uid="{5E86182E-11EC-48CD-8504-B80D4BD3B598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$500,000 moved from BOP Cap Res tp Ray Fed, GNWFCU &amp; Key Bank to reduce overall balance at BOP
</t>
        </r>
      </text>
    </comment>
  </commentList>
</comments>
</file>

<file path=xl/sharedStrings.xml><?xml version="1.0" encoding="utf-8"?>
<sst xmlns="http://schemas.openxmlformats.org/spreadsheetml/2006/main" count="128" uniqueCount="97">
  <si>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</si>
  <si>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</si>
  <si>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</si>
  <si>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</si>
  <si>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</si>
  <si>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</si>
  <si>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</si>
  <si>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</si>
  <si>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</si>
  <si>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</si>
  <si>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</si>
  <si>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</si>
  <si>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Oysterville Loop Materials</t>
  </si>
  <si>
    <t>Oyterville Loop Professional</t>
  </si>
  <si>
    <t>Oysterville Loop Labor</t>
  </si>
  <si>
    <t>Oysterville Loop Easement</t>
  </si>
  <si>
    <t>Treatment Plant Materials</t>
  </si>
  <si>
    <t>Treatment Plant Professional</t>
  </si>
  <si>
    <t>Totals</t>
  </si>
  <si>
    <t>Treatment Plant Compliance</t>
  </si>
  <si>
    <t>Treatment Plant Surfside Labor</t>
  </si>
  <si>
    <t xml:space="preserve"> Business Office</t>
  </si>
  <si>
    <t xml:space="preserve"> Administrative Department</t>
  </si>
  <si>
    <t xml:space="preserve"> Water Department</t>
  </si>
  <si>
    <t xml:space="preserve"> Common Property Department</t>
  </si>
  <si>
    <t xml:space="preserve"> Sheriff Patrol Department</t>
  </si>
  <si>
    <t xml:space="preserve"> Refuse/Compactor Department</t>
  </si>
  <si>
    <t xml:space="preserve"> Recreational Vehicle Department</t>
  </si>
  <si>
    <t>Surfside Activities</t>
  </si>
  <si>
    <t>Reserve</t>
  </si>
  <si>
    <t>Nov 2015</t>
  </si>
  <si>
    <t>Dec 2015</t>
  </si>
  <si>
    <t>Water Line</t>
  </si>
  <si>
    <t>Dec 2016</t>
  </si>
  <si>
    <t>Jan 2016</t>
  </si>
  <si>
    <t>Booster Pump Replacement Professional</t>
  </si>
  <si>
    <t>Operational Fund Balance</t>
  </si>
  <si>
    <t>5.  Expected 2017 Revenue</t>
  </si>
  <si>
    <t>Member Dues</t>
  </si>
  <si>
    <t>Operational Assessments</t>
  </si>
  <si>
    <t>Capital Assesments</t>
  </si>
  <si>
    <t>6.  Expected 2017 Expenses</t>
  </si>
  <si>
    <t>Operational Expenses</t>
  </si>
  <si>
    <t>Capital Expenses</t>
  </si>
  <si>
    <t>Reconcilled Bank Balances</t>
  </si>
  <si>
    <t>Operational</t>
  </si>
  <si>
    <t>From 2017 Budget Model</t>
  </si>
  <si>
    <t>Backhoe Replacement</t>
  </si>
  <si>
    <t>Six Month Expenses</t>
  </si>
  <si>
    <t>Capital Expenditures (Estimated)</t>
  </si>
  <si>
    <t>Four Month Expenses</t>
  </si>
  <si>
    <t>Storage Building Mezzinine Construction</t>
  </si>
  <si>
    <t>Mini Excavator</t>
  </si>
  <si>
    <t>Actuals</t>
  </si>
  <si>
    <t>Estimates based on 2016 Actuals</t>
  </si>
  <si>
    <t xml:space="preserve">Operational Funds </t>
  </si>
  <si>
    <t>Reserve Funds</t>
  </si>
  <si>
    <t>Initial Balance</t>
  </si>
  <si>
    <t>Booster Pump Mechanical</t>
  </si>
  <si>
    <t>Booster Pump Electrical</t>
  </si>
  <si>
    <t>Operational Expenditures (Estimated)</t>
  </si>
  <si>
    <t>Water Meter Funds Rolled Over</t>
  </si>
  <si>
    <t>2017 Profile Operational and Capital Expenses Spend Plan (Estimated)</t>
  </si>
  <si>
    <t xml:space="preserve">Operational Funds Added to the Reserve </t>
  </si>
  <si>
    <t>Capital Funds from Dues</t>
  </si>
  <si>
    <t>Operational Funds From Dues 2017</t>
  </si>
  <si>
    <t>Operational Funds Deposits in 2018</t>
  </si>
  <si>
    <t>Payment of Operational Expenses</t>
  </si>
  <si>
    <t>Capital Expense Withdrawn from O&amp;M Funds</t>
  </si>
  <si>
    <t>Reserve Fund Balance</t>
  </si>
  <si>
    <t>Estimates based on WSP estimate and Surfside Reserve Study</t>
  </si>
  <si>
    <t>Sample Stations</t>
  </si>
  <si>
    <t>Miscellaneous Income 2017</t>
  </si>
  <si>
    <t>Water Main Funds Remaining</t>
  </si>
  <si>
    <t>Payments of Capital Expenses From Reserves</t>
  </si>
  <si>
    <t>Capital Funds from Dues Transferred to Reserves</t>
  </si>
  <si>
    <t>WMR Materials</t>
  </si>
  <si>
    <t>WMR Labor</t>
  </si>
  <si>
    <t>Stays here</t>
  </si>
  <si>
    <t>Sent to Capital</t>
  </si>
  <si>
    <t>O&amp;M Paid Here</t>
  </si>
  <si>
    <t>Received from O&amp;M</t>
  </si>
  <si>
    <t>Still Held</t>
  </si>
  <si>
    <t>WMR Residual - WMR Exp</t>
  </si>
  <si>
    <t>Total Cap Exp - WMR+CFP+Mezz+ (Oyst)</t>
  </si>
  <si>
    <t>Total Capital Exp - Paid WMR+CFP+Mezz+(Oyst)</t>
  </si>
  <si>
    <t>Additional Capital to Cover O&amp;M</t>
  </si>
  <si>
    <t xml:space="preserve">Funds from Reserve to cover O&amp;M </t>
  </si>
  <si>
    <t>Treatment Plant Building (Sub Contract)</t>
  </si>
  <si>
    <t>Business Office Computer</t>
  </si>
  <si>
    <t>Total Replaceable</t>
  </si>
  <si>
    <t>Lawn Mower (Common Property)</t>
  </si>
  <si>
    <t>Actuals to Date</t>
  </si>
  <si>
    <t>Percent of Budget</t>
  </si>
  <si>
    <t>Budgeted Capital Project Summary</t>
  </si>
  <si>
    <t>2017 Budgeted Totals</t>
  </si>
  <si>
    <t>(Orange are actuals)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</si>
</sst>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0"/>
      <color theme="1"/>
      <name val="Consola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5"/>
      <name val="Consolas"/>
      <family val="3"/>
    </font>
    <font>
      <sz val="10"/>
      <color theme="5"/>
      <name val="Consolas"/>
      <family val="3"/>
    </font>
    <font>
      <b/>
      <sz val="14"/>
      <color theme="1"/>
      <name val="Consolas"/>
      <family val="3"/>
    </font>
    <font>
      <sz val="10"/>
      <color theme="1"/>
      <name val="Consolas"/>
      <family val="2"/>
    </font>
    <font>
      <sz val="10"/>
      <color theme="4" tint="-0.499984740745262"/>
      <name val="Consolas"/>
      <family val="2"/>
    </font>
    <font>
      <sz val="10"/>
      <color theme="9" tint="-0.249977111117893"/>
      <name val="Consolas"/>
      <family val="2"/>
    </font>
    <font>
      <b/>
      <sz val="10"/>
      <color theme="9" tint="-0.249977111117893"/>
      <name val="Consolas"/>
      <family val="2"/>
    </font>
    <font>
      <b/>
      <sz val="12"/>
      <color theme="5"/>
      <name val="Consolas"/>
      <family val="3"/>
    </font>
    <font>
      <b/>
      <sz val="10"/>
      <color theme="5"/>
      <name val="Consolas"/>
      <family val="3"/>
    </font>
    <font>
      <sz val="8"/>
      <color theme="1"/>
      <name val="Consolas"/>
      <family val="2"/>
    </font>
    <font>
      <b/>
      <sz val="10"/>
      <color theme="1"/>
      <name val="Consolas"/>
      <family val="3"/>
    </font>
    <font>
      <sz val="10"/>
      <color theme="5"/>
      <name val="Consolas"/>
      <family val="3"/>
    </font>
    <font>
      <b/>
      <i/>
      <sz val="10"/>
      <color theme="5"/>
      <name val="Consolas"/>
      <family val="3"/>
    </font>
    <font>
      <sz val="10"/>
      <name val="Consolas"/>
      <family val="2"/>
    </font>
    <font>
      <sz val="10"/>
      <color theme="1"/>
      <name val="Consolas"/>
      <family val="3"/>
    </font>
    <font>
      <b/>
      <sz val="10"/>
      <name val="Consolas"/>
      <family val="3"/>
    </font>
    <font>
      <b/>
      <sz val="10"/>
      <color theme="5"/>
      <name val="Consolas"/>
      <family val="2"/>
    </font>
    <font>
      <sz val="10"/>
      <color theme="5"/>
      <name val="Consolas"/>
      <family val="2"/>
    </font>
    <font>
      <sz val="10"/>
      <name val="Consolas"/>
      <family val="3"/>
    </font>
    <font>
      <i/>
      <sz val="10"/>
      <color theme="1"/>
      <name val="Consolas"/>
      <family val="3"/>
    </font>
    <font>
      <b/>
      <sz val="10"/>
      <color theme="5"/>
      <name val="Castellar"/>
      <family val="1"/>
    </font>
    <font>
      <i/>
      <sz val="14"/>
      <color theme="1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 wrapText="1"/>
    </xf>
    <xf numFmtId="0" fontId="19" fillId="2" borderId="0" xfId="0" applyFont="1" applyFill="1" applyAlignment="1">
      <alignment horizontal="right"/>
    </xf>
    <xf numFmtId="3" fontId="13" fillId="2" borderId="9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>
      <alignment vertical="center"/>
    </xf>
    <xf numFmtId="3" fontId="20" fillId="2" borderId="14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right"/>
    </xf>
    <xf numFmtId="3" fontId="13" fillId="0" borderId="9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0" fillId="3" borderId="14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20" fillId="3" borderId="15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vertical="center"/>
    </xf>
    <xf numFmtId="3" fontId="20" fillId="0" borderId="5" xfId="0" applyNumberFormat="1" applyFont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3" fontId="13" fillId="2" borderId="7" xfId="0" applyNumberFormat="1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vertical="center"/>
    </xf>
    <xf numFmtId="3" fontId="20" fillId="2" borderId="3" xfId="0" applyNumberFormat="1" applyFont="1" applyFill="1" applyBorder="1" applyAlignment="1">
      <alignment vertical="center"/>
    </xf>
    <xf numFmtId="3" fontId="20" fillId="2" borderId="13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3" fontId="13" fillId="2" borderId="9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3" fillId="0" borderId="9" xfId="0" applyNumberFormat="1" applyFont="1" applyBorder="1" applyAlignment="1">
      <alignment vertical="center"/>
    </xf>
    <xf numFmtId="3" fontId="20" fillId="0" borderId="14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13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" fontId="13" fillId="0" borderId="9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164" fontId="8" fillId="0" borderId="0" xfId="0" applyNumberFormat="1" applyFont="1" applyFill="1" applyAlignment="1">
      <alignment horizontal="center" vertical="center"/>
    </xf>
    <xf numFmtId="3" fontId="8" fillId="0" borderId="2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3" fontId="13" fillId="0" borderId="1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3" fontId="20" fillId="0" borderId="15" xfId="0" applyNumberFormat="1" applyFont="1" applyFill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13" fillId="0" borderId="7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20" fillId="0" borderId="3" xfId="0" applyNumberFormat="1" applyFont="1" applyBorder="1" applyAlignment="1">
      <alignment vertical="center"/>
    </xf>
    <xf numFmtId="3" fontId="20" fillId="0" borderId="8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16" fillId="0" borderId="9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 horizontal="right" vertical="center"/>
    </xf>
    <xf numFmtId="3" fontId="23" fillId="0" borderId="1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23" fillId="0" borderId="12" xfId="0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3" fontId="19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3" fontId="22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vertical="center"/>
    </xf>
    <xf numFmtId="3" fontId="13" fillId="0" borderId="7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3" fontId="23" fillId="0" borderId="3" xfId="0" applyNumberFormat="1" applyFont="1" applyFill="1" applyBorder="1" applyAlignment="1">
      <alignment vertical="center"/>
    </xf>
    <xf numFmtId="3" fontId="20" fillId="0" borderId="3" xfId="0" applyNumberFormat="1" applyFont="1" applyFill="1" applyBorder="1" applyAlignment="1">
      <alignment vertical="center"/>
    </xf>
    <xf numFmtId="3" fontId="15" fillId="0" borderId="8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3" fontId="25" fillId="0" borderId="1" xfId="0" applyNumberFormat="1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3" fontId="23" fillId="0" borderId="1" xfId="0" applyNumberFormat="1" applyFont="1" applyFill="1" applyBorder="1" applyAlignment="1">
      <alignment vertical="center"/>
    </xf>
    <xf numFmtId="3" fontId="18" fillId="0" borderId="7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20" fillId="0" borderId="5" xfId="0" applyNumberFormat="1" applyFont="1" applyFill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80"/>
  <sheetViews>
    <sheetView tabSelected="1" zoomScale="75" zoomScaleNormal="75" workbookViewId="0">
      <pane ySplit="3" topLeftCell="A43" activePane="bottomLeft" state="frozen"/>
      <selection pane="bottomLeft" activeCell="N52" sqref="N52"/>
    </sheetView>
  </sheetViews>
  <sheetFormatPr defaultColWidth="10.7109375" defaultRowHeight="16.149999999999999" customHeight="1" x14ac:dyDescent="0.2"/>
  <cols>
    <col min="1" max="1" width="0.42578125" style="11" customWidth="1"/>
    <col min="2" max="2" width="58.7109375" style="11" customWidth="1"/>
    <col min="3" max="3" width="45" style="11" hidden="1" customWidth="1"/>
    <col min="4" max="6" width="11.5703125" style="12" customWidth="1"/>
    <col min="7" max="7" width="11.5703125" style="11" customWidth="1"/>
    <col min="8" max="8" width="11.5703125" style="13" customWidth="1"/>
    <col min="9" max="9" width="11.5703125" style="14" customWidth="1"/>
    <col min="10" max="10" width="11.5703125" style="11" customWidth="1"/>
    <col min="11" max="15" width="12.5703125" style="11" customWidth="1"/>
    <col min="16" max="16" width="1.42578125" style="11" customWidth="1"/>
    <col min="17" max="17" width="14.5703125" style="11" customWidth="1"/>
    <col min="18" max="18" width="13" style="11" customWidth="1"/>
    <col min="19" max="19" width="10.7109375" style="11" customWidth="1"/>
    <col min="20" max="20" width="10.140625" style="15" customWidth="1"/>
    <col min="21" max="21" width="2" style="11" customWidth="1"/>
    <col min="22" max="22" width="17.42578125" style="11" customWidth="1"/>
    <col min="23" max="27" width="11.140625" style="11" customWidth="1"/>
    <col min="28" max="28" width="10.140625" style="11" customWidth="1"/>
    <col min="29" max="16384" width="10.7109375" style="11"/>
  </cols>
  <sheetData>
    <row r="1" spans="2:29" ht="16.149999999999999" customHeight="1" x14ac:dyDescent="0.2">
      <c r="B1" s="10" t="s">
        <v>62</v>
      </c>
    </row>
    <row r="2" spans="2:29" ht="12" customHeight="1" x14ac:dyDescent="0.2">
      <c r="B2" s="16" t="s">
        <v>96</v>
      </c>
      <c r="C2" s="15"/>
      <c r="P2" s="15"/>
      <c r="Q2" s="15"/>
    </row>
    <row r="3" spans="2:29" ht="31.5" customHeight="1" x14ac:dyDescent="0.2">
      <c r="D3" s="17" t="s">
        <v>0</v>
      </c>
      <c r="E3" s="17" t="s">
        <v>1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55" t="s">
        <v>9</v>
      </c>
      <c r="N3" s="155" t="s">
        <v>10</v>
      </c>
      <c r="O3" s="15" t="s">
        <v>11</v>
      </c>
      <c r="R3" s="18" t="s">
        <v>94</v>
      </c>
      <c r="S3" s="19" t="s">
        <v>92</v>
      </c>
      <c r="T3" s="18" t="s">
        <v>93</v>
      </c>
      <c r="V3" s="20"/>
    </row>
    <row r="4" spans="2:29" ht="16.149999999999999" customHeight="1" x14ac:dyDescent="0.2">
      <c r="B4" s="21" t="s">
        <v>60</v>
      </c>
      <c r="D4" s="22"/>
    </row>
    <row r="5" spans="2:29" ht="28.5" customHeight="1" x14ac:dyDescent="0.2">
      <c r="B5" s="21"/>
      <c r="D5" s="23" t="s">
        <v>53</v>
      </c>
      <c r="E5" s="166" t="s">
        <v>54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24"/>
      <c r="Q5" s="25" t="s">
        <v>95</v>
      </c>
    </row>
    <row r="6" spans="2:29" ht="16.149999999999999" customHeight="1" x14ac:dyDescent="0.2">
      <c r="B6" s="26" t="s">
        <v>21</v>
      </c>
      <c r="C6" s="26"/>
      <c r="D6" s="27">
        <v>25384.04</v>
      </c>
      <c r="E6" s="28">
        <v>14636.15</v>
      </c>
      <c r="F6" s="28">
        <v>16153.09</v>
      </c>
      <c r="G6" s="28">
        <v>17419.48</v>
      </c>
      <c r="H6" s="28">
        <v>16020.41</v>
      </c>
      <c r="I6" s="28">
        <v>14268.9</v>
      </c>
      <c r="J6" s="28">
        <v>15360.67</v>
      </c>
      <c r="K6" s="28">
        <v>16167.68</v>
      </c>
      <c r="L6" s="156">
        <v>14627.82</v>
      </c>
      <c r="M6" s="156">
        <v>16492.2</v>
      </c>
      <c r="N6" s="156">
        <v>15627.11</v>
      </c>
      <c r="O6" s="29">
        <v>24715</v>
      </c>
      <c r="P6" s="29"/>
      <c r="Q6" s="30">
        <f>SUM(D6:O6)</f>
        <v>206872.55</v>
      </c>
      <c r="R6" s="20"/>
      <c r="S6" s="20">
        <f>SUM(D6:N6)</f>
        <v>182157.55</v>
      </c>
      <c r="T6" s="31">
        <f>S6/Q6</f>
        <v>0.88053030718671954</v>
      </c>
    </row>
    <row r="7" spans="2:29" ht="16.149999999999999" customHeight="1" x14ac:dyDescent="0.2">
      <c r="B7" s="32" t="s">
        <v>22</v>
      </c>
      <c r="C7" s="32"/>
      <c r="D7" s="33">
        <v>39449.19</v>
      </c>
      <c r="E7" s="34">
        <v>17160.91</v>
      </c>
      <c r="F7" s="34">
        <v>-7558.4</v>
      </c>
      <c r="G7" s="34">
        <v>4179.47</v>
      </c>
      <c r="H7" s="34">
        <v>13858.23</v>
      </c>
      <c r="I7" s="34">
        <v>4031.53</v>
      </c>
      <c r="J7" s="34">
        <v>33136.93</v>
      </c>
      <c r="K7" s="34">
        <v>38465.870000000003</v>
      </c>
      <c r="L7" s="8">
        <v>3732.81</v>
      </c>
      <c r="M7" s="8">
        <v>9323.64</v>
      </c>
      <c r="N7" s="8">
        <v>23356.94</v>
      </c>
      <c r="O7" s="35">
        <v>-14297</v>
      </c>
      <c r="P7" s="35"/>
      <c r="Q7" s="36">
        <f t="shared" ref="Q7:Q13" si="0">SUM(D7:O7)</f>
        <v>164840.12</v>
      </c>
      <c r="R7" s="20"/>
      <c r="S7" s="20">
        <f t="shared" ref="S7:S14" si="1">SUM(D7:N7)</f>
        <v>179137.12</v>
      </c>
      <c r="T7" s="31">
        <f t="shared" ref="T7:T12" si="2">S7/Q7</f>
        <v>1.0867325260379572</v>
      </c>
      <c r="AC7" s="37"/>
    </row>
    <row r="8" spans="2:29" ht="16.149999999999999" customHeight="1" x14ac:dyDescent="0.2">
      <c r="B8" s="26" t="s">
        <v>23</v>
      </c>
      <c r="C8" s="26"/>
      <c r="D8" s="27">
        <v>50351.68</v>
      </c>
      <c r="E8" s="28">
        <v>49287.86</v>
      </c>
      <c r="F8" s="28">
        <v>52018.09</v>
      </c>
      <c r="G8" s="28">
        <v>58528.31</v>
      </c>
      <c r="H8" s="28">
        <v>48532.41</v>
      </c>
      <c r="I8" s="28">
        <v>38090.17</v>
      </c>
      <c r="J8" s="28">
        <v>33934.589999999997</v>
      </c>
      <c r="K8" s="28">
        <v>36364.32</v>
      </c>
      <c r="L8" s="28">
        <v>29663.65</v>
      </c>
      <c r="M8" s="156">
        <v>32448.37</v>
      </c>
      <c r="N8" s="156">
        <v>52025.2</v>
      </c>
      <c r="O8" s="29">
        <f>-36827-54</f>
        <v>-36881</v>
      </c>
      <c r="P8" s="29"/>
      <c r="Q8" s="30">
        <f t="shared" si="0"/>
        <v>444363.65</v>
      </c>
      <c r="R8" s="20"/>
      <c r="S8" s="20">
        <f t="shared" si="1"/>
        <v>481244.65</v>
      </c>
      <c r="T8" s="31">
        <f t="shared" si="2"/>
        <v>1.0829973378785596</v>
      </c>
    </row>
    <row r="9" spans="2:29" ht="16.149999999999999" customHeight="1" x14ac:dyDescent="0.2">
      <c r="B9" s="32" t="s">
        <v>24</v>
      </c>
      <c r="C9" s="32"/>
      <c r="D9" s="33">
        <v>940</v>
      </c>
      <c r="E9" s="34">
        <v>902.2</v>
      </c>
      <c r="F9" s="34">
        <v>2459</v>
      </c>
      <c r="G9" s="34">
        <v>4716.4399999999996</v>
      </c>
      <c r="H9" s="34">
        <v>9977.36</v>
      </c>
      <c r="I9" s="34">
        <v>6515.46</v>
      </c>
      <c r="J9" s="34">
        <v>16243.3</v>
      </c>
      <c r="K9" s="34">
        <v>7842.1</v>
      </c>
      <c r="L9" s="34">
        <v>3745.19</v>
      </c>
      <c r="M9" s="8">
        <v>8872.66</v>
      </c>
      <c r="N9" s="8">
        <v>3173.44</v>
      </c>
      <c r="O9" s="35">
        <f>4871+1068</f>
        <v>5939</v>
      </c>
      <c r="P9" s="35"/>
      <c r="Q9" s="36">
        <f t="shared" si="0"/>
        <v>71326.149999999994</v>
      </c>
      <c r="R9" s="20"/>
      <c r="S9" s="20">
        <f t="shared" si="1"/>
        <v>65387.149999999994</v>
      </c>
      <c r="T9" s="31">
        <f t="shared" si="2"/>
        <v>0.91673460575118659</v>
      </c>
    </row>
    <row r="10" spans="2:29" ht="16.149999999999999" customHeight="1" x14ac:dyDescent="0.2">
      <c r="B10" s="26" t="s">
        <v>25</v>
      </c>
      <c r="C10" s="26"/>
      <c r="D10" s="27">
        <v>6480</v>
      </c>
      <c r="E10" s="28">
        <v>5654.6</v>
      </c>
      <c r="F10" s="28">
        <v>5639.18</v>
      </c>
      <c r="G10" s="28">
        <v>5974.27</v>
      </c>
      <c r="H10" s="28">
        <v>5557.2</v>
      </c>
      <c r="I10" s="28">
        <v>5557.2</v>
      </c>
      <c r="J10" s="28">
        <v>6147.85</v>
      </c>
      <c r="K10" s="28">
        <v>5557.2</v>
      </c>
      <c r="L10" s="28">
        <v>5557.2</v>
      </c>
      <c r="M10" s="156">
        <v>6376.32</v>
      </c>
      <c r="N10" s="156">
        <v>5501.35</v>
      </c>
      <c r="O10" s="29">
        <v>3564</v>
      </c>
      <c r="P10" s="29"/>
      <c r="Q10" s="30">
        <f t="shared" si="0"/>
        <v>67566.37</v>
      </c>
      <c r="R10" s="20"/>
      <c r="S10" s="20">
        <f t="shared" si="1"/>
        <v>64002.369999999988</v>
      </c>
      <c r="T10" s="31">
        <f t="shared" si="2"/>
        <v>0.94725186509205683</v>
      </c>
    </row>
    <row r="11" spans="2:29" ht="16.149999999999999" customHeight="1" x14ac:dyDescent="0.2">
      <c r="B11" s="32" t="s">
        <v>26</v>
      </c>
      <c r="C11" s="32"/>
      <c r="D11" s="33">
        <v>3419</v>
      </c>
      <c r="E11" s="34">
        <v>14671.91</v>
      </c>
      <c r="F11" s="34">
        <v>6311.5</v>
      </c>
      <c r="G11" s="34">
        <v>6031.75</v>
      </c>
      <c r="H11" s="34">
        <v>7188.86</v>
      </c>
      <c r="I11" s="34">
        <v>9546.6200000000008</v>
      </c>
      <c r="J11" s="34">
        <v>11460.67</v>
      </c>
      <c r="K11" s="34">
        <v>10871.44</v>
      </c>
      <c r="L11" s="34">
        <v>12323.38</v>
      </c>
      <c r="M11" s="8">
        <v>13004.37</v>
      </c>
      <c r="N11" s="8">
        <v>8221.43</v>
      </c>
      <c r="O11" s="35">
        <v>8643</v>
      </c>
      <c r="P11" s="35"/>
      <c r="Q11" s="36">
        <f t="shared" si="0"/>
        <v>111693.93</v>
      </c>
      <c r="R11" s="20"/>
      <c r="S11" s="20">
        <f t="shared" si="1"/>
        <v>103050.93</v>
      </c>
      <c r="T11" s="31">
        <f t="shared" si="2"/>
        <v>0.92261889253963936</v>
      </c>
    </row>
    <row r="12" spans="2:29" ht="16.149999999999999" customHeight="1" x14ac:dyDescent="0.2">
      <c r="B12" s="26" t="s">
        <v>27</v>
      </c>
      <c r="C12" s="26"/>
      <c r="D12" s="27">
        <v>314</v>
      </c>
      <c r="E12" s="28">
        <v>2103.79</v>
      </c>
      <c r="F12" s="28">
        <v>1001.37</v>
      </c>
      <c r="G12" s="28">
        <v>1157.1600000000001</v>
      </c>
      <c r="H12" s="28">
        <v>542.55999999999995</v>
      </c>
      <c r="I12" s="28">
        <v>445.39</v>
      </c>
      <c r="J12" s="28">
        <v>444.35</v>
      </c>
      <c r="K12" s="28">
        <v>474.41</v>
      </c>
      <c r="L12" s="28">
        <v>1622.9</v>
      </c>
      <c r="M12" s="156">
        <v>1249.55</v>
      </c>
      <c r="N12" s="156">
        <v>596.48</v>
      </c>
      <c r="O12" s="29">
        <v>548</v>
      </c>
      <c r="P12" s="29"/>
      <c r="Q12" s="30">
        <f t="shared" si="0"/>
        <v>10499.96</v>
      </c>
      <c r="R12" s="20"/>
      <c r="S12" s="20">
        <f t="shared" si="1"/>
        <v>9951.9599999999991</v>
      </c>
      <c r="T12" s="31">
        <f t="shared" si="2"/>
        <v>0.94780932498790471</v>
      </c>
    </row>
    <row r="13" spans="2:29" ht="16.149999999999999" customHeight="1" x14ac:dyDescent="0.2">
      <c r="B13" s="32" t="s">
        <v>28</v>
      </c>
      <c r="C13" s="32"/>
      <c r="D13" s="38"/>
      <c r="E13" s="39"/>
      <c r="F13" s="39">
        <v>200</v>
      </c>
      <c r="G13" s="39"/>
      <c r="H13" s="39">
        <v>246</v>
      </c>
      <c r="I13" s="39">
        <v>522.4</v>
      </c>
      <c r="J13" s="39">
        <v>1647.68</v>
      </c>
      <c r="K13" s="39">
        <v>525</v>
      </c>
      <c r="L13" s="39">
        <v>4038.32</v>
      </c>
      <c r="M13" s="157">
        <v>60</v>
      </c>
      <c r="N13" s="157"/>
      <c r="O13" s="40">
        <f>2267+544+850</f>
        <v>3661</v>
      </c>
      <c r="P13" s="40"/>
      <c r="Q13" s="41">
        <f t="shared" si="0"/>
        <v>10900.4</v>
      </c>
      <c r="R13" s="20"/>
      <c r="S13" s="20">
        <f t="shared" si="1"/>
        <v>7239.4</v>
      </c>
      <c r="T13" s="31">
        <f>S13/Q13</f>
        <v>0.66414076547649625</v>
      </c>
    </row>
    <row r="14" spans="2:29" ht="16.149999999999999" customHeight="1" x14ac:dyDescent="0.2">
      <c r="B14" s="42" t="s">
        <v>18</v>
      </c>
      <c r="D14" s="43">
        <f>SUM(D6:D13)</f>
        <v>126337.91</v>
      </c>
      <c r="E14" s="44">
        <f t="shared" ref="E14:Q14" si="3">SUM(E6:E13)</f>
        <v>104417.42</v>
      </c>
      <c r="F14" s="44">
        <f t="shared" si="3"/>
        <v>76223.829999999987</v>
      </c>
      <c r="G14" s="44">
        <f t="shared" si="3"/>
        <v>98006.88</v>
      </c>
      <c r="H14" s="44">
        <f t="shared" si="3"/>
        <v>101923.03</v>
      </c>
      <c r="I14" s="44">
        <f t="shared" si="3"/>
        <v>78977.669999999984</v>
      </c>
      <c r="J14" s="44">
        <f t="shared" si="3"/>
        <v>118376.04000000001</v>
      </c>
      <c r="K14" s="44">
        <f t="shared" si="3"/>
        <v>116268.02</v>
      </c>
      <c r="L14" s="44">
        <f t="shared" si="3"/>
        <v>75311.27</v>
      </c>
      <c r="M14" s="158">
        <f t="shared" si="3"/>
        <v>87827.11</v>
      </c>
      <c r="N14" s="158">
        <f t="shared" si="3"/>
        <v>108501.95</v>
      </c>
      <c r="O14" s="45">
        <f t="shared" si="3"/>
        <v>-4108</v>
      </c>
      <c r="P14" s="45"/>
      <c r="Q14" s="46">
        <f t="shared" si="3"/>
        <v>1088063.1299999999</v>
      </c>
      <c r="S14" s="20">
        <f t="shared" si="1"/>
        <v>1092171.1300000001</v>
      </c>
    </row>
    <row r="15" spans="2:29" ht="16.149999999999999" customHeight="1" x14ac:dyDescent="0.2">
      <c r="B15" s="42"/>
      <c r="D15" s="47"/>
      <c r="E15" s="48"/>
      <c r="F15" s="48"/>
      <c r="G15" s="49"/>
      <c r="H15" s="50"/>
      <c r="I15" s="51"/>
      <c r="J15" s="49"/>
      <c r="K15" s="49"/>
      <c r="L15" s="49"/>
      <c r="M15" s="49"/>
      <c r="N15" s="49"/>
      <c r="O15" s="49"/>
      <c r="P15" s="49"/>
      <c r="Q15" s="49"/>
    </row>
    <row r="16" spans="2:29" ht="16.149999999999999" customHeight="1" x14ac:dyDescent="0.2">
      <c r="B16" s="52"/>
      <c r="C16" s="53"/>
      <c r="D16" s="54"/>
      <c r="E16" s="54"/>
      <c r="F16" s="54"/>
      <c r="G16" s="55"/>
      <c r="H16" s="56"/>
      <c r="I16" s="57"/>
      <c r="J16" s="55"/>
      <c r="K16" s="55"/>
      <c r="L16" s="55"/>
      <c r="M16" s="55"/>
      <c r="N16" s="55"/>
      <c r="O16" s="55"/>
      <c r="P16" s="55"/>
      <c r="Q16" s="55"/>
    </row>
    <row r="17" spans="2:27" ht="16.149999999999999" customHeight="1" x14ac:dyDescent="0.2">
      <c r="B17" s="21" t="s">
        <v>49</v>
      </c>
      <c r="G17" s="58"/>
      <c r="J17" s="58"/>
      <c r="K17" s="58"/>
      <c r="L17" s="58"/>
      <c r="M17" s="58"/>
      <c r="N17" s="58"/>
      <c r="O17" s="58"/>
      <c r="P17" s="58"/>
      <c r="Q17" s="58"/>
      <c r="R17" s="59"/>
    </row>
    <row r="18" spans="2:27" s="15" customFormat="1" ht="16.149999999999999" customHeight="1" x14ac:dyDescent="0.2">
      <c r="D18" s="167" t="s">
        <v>70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59"/>
    </row>
    <row r="19" spans="2:27" s="15" customFormat="1" ht="24" customHeight="1" x14ac:dyDescent="0.2">
      <c r="D19" s="17" t="s">
        <v>0</v>
      </c>
      <c r="E19" s="17" t="s">
        <v>1</v>
      </c>
      <c r="F19" s="17" t="s">
        <v>2</v>
      </c>
      <c r="G19" s="17" t="s">
        <v>3</v>
      </c>
      <c r="H19" s="17" t="s">
        <v>4</v>
      </c>
      <c r="I19" s="17" t="s">
        <v>5</v>
      </c>
      <c r="J19" s="17" t="s">
        <v>6</v>
      </c>
      <c r="K19" s="17" t="s">
        <v>7</v>
      </c>
      <c r="L19" s="17" t="s">
        <v>8</v>
      </c>
      <c r="M19" s="155" t="s">
        <v>9</v>
      </c>
      <c r="N19" s="155" t="s">
        <v>10</v>
      </c>
      <c r="O19" s="15" t="s">
        <v>11</v>
      </c>
      <c r="P19" s="60"/>
      <c r="Q19" s="60"/>
      <c r="R19" s="59"/>
    </row>
    <row r="20" spans="2:27" s="68" customFormat="1" ht="16.149999999999999" customHeight="1" x14ac:dyDescent="0.2">
      <c r="B20" s="61" t="s">
        <v>76</v>
      </c>
      <c r="C20" s="61"/>
      <c r="D20" s="62"/>
      <c r="E20" s="63">
        <v>2888.86</v>
      </c>
      <c r="F20" s="63">
        <f>94.17+43642.91</f>
        <v>43737.08</v>
      </c>
      <c r="G20" s="63">
        <v>10024.379999999999</v>
      </c>
      <c r="H20" s="63">
        <f>430.7+6147.91</f>
        <v>6578.61</v>
      </c>
      <c r="I20" s="63">
        <v>23741.74</v>
      </c>
      <c r="J20" s="63">
        <v>27428.26</v>
      </c>
      <c r="K20" s="63">
        <v>2200.12</v>
      </c>
      <c r="L20" s="64"/>
      <c r="M20" s="159">
        <v>376.93</v>
      </c>
      <c r="N20" s="159">
        <v>1678.86</v>
      </c>
      <c r="O20" s="64"/>
      <c r="P20" s="64"/>
      <c r="Q20" s="65">
        <f>SUM(D20:O20)</f>
        <v>118654.83999999998</v>
      </c>
      <c r="R20" s="66"/>
      <c r="S20" s="66"/>
      <c r="T20" s="67"/>
      <c r="U20" s="66"/>
      <c r="V20" s="66"/>
      <c r="W20" s="66"/>
      <c r="X20" s="66"/>
      <c r="Y20" s="66"/>
      <c r="Z20" s="66"/>
      <c r="AA20" s="66"/>
    </row>
    <row r="21" spans="2:27" s="68" customFormat="1" ht="16.149999999999999" customHeight="1" x14ac:dyDescent="0.2">
      <c r="B21" s="61" t="s">
        <v>77</v>
      </c>
      <c r="C21" s="61"/>
      <c r="D21" s="69"/>
      <c r="E21" s="28">
        <v>7134.7</v>
      </c>
      <c r="F21" s="28">
        <v>6005.59</v>
      </c>
      <c r="G21" s="28">
        <v>6335.58</v>
      </c>
      <c r="H21" s="28">
        <v>2462.5700000000002</v>
      </c>
      <c r="I21" s="28">
        <v>5818.59</v>
      </c>
      <c r="J21" s="28">
        <v>6944.25</v>
      </c>
      <c r="K21" s="28">
        <v>803.67</v>
      </c>
      <c r="L21" s="29"/>
      <c r="M21" s="156">
        <v>294.24</v>
      </c>
      <c r="N21" s="156">
        <v>1972.77</v>
      </c>
      <c r="O21" s="29"/>
      <c r="P21" s="29"/>
      <c r="Q21" s="30">
        <f>SUM(D21:O21)</f>
        <v>37771.959999999992</v>
      </c>
      <c r="R21" s="70">
        <v>107801</v>
      </c>
      <c r="S21" s="71">
        <f>SUM(E20:N21)</f>
        <v>156426.79999999996</v>
      </c>
      <c r="T21" s="31">
        <f>S21/R21</f>
        <v>1.4510700271797103</v>
      </c>
      <c r="U21" s="66"/>
      <c r="V21" s="66"/>
      <c r="W21" s="66"/>
      <c r="X21" s="66"/>
      <c r="Y21" s="66"/>
      <c r="Z21" s="66"/>
      <c r="AA21" s="66"/>
    </row>
    <row r="22" spans="2:27" ht="15.75" customHeight="1" x14ac:dyDescent="0.2">
      <c r="B22" s="52" t="s">
        <v>12</v>
      </c>
      <c r="C22" s="52"/>
      <c r="D22" s="72"/>
      <c r="E22" s="34"/>
      <c r="F22" s="34"/>
      <c r="G22" s="34"/>
      <c r="H22" s="34"/>
      <c r="I22" s="34"/>
      <c r="J22" s="34"/>
      <c r="O22" s="35">
        <v>42000</v>
      </c>
      <c r="P22" s="35"/>
      <c r="Q22" s="73">
        <f>SUM(D22:O22)</f>
        <v>42000</v>
      </c>
      <c r="T22" s="31"/>
    </row>
    <row r="23" spans="2:27" ht="16.149999999999999" customHeight="1" x14ac:dyDescent="0.2">
      <c r="B23" s="52" t="s">
        <v>13</v>
      </c>
      <c r="C23" s="52"/>
      <c r="D23" s="72"/>
      <c r="E23" s="34"/>
      <c r="F23" s="74"/>
      <c r="G23" s="34"/>
      <c r="H23" s="34"/>
      <c r="I23" s="34"/>
      <c r="J23" s="34">
        <v>4791.84</v>
      </c>
      <c r="K23" s="34">
        <v>3029.22</v>
      </c>
      <c r="M23" s="8">
        <v>2158.3200000000002</v>
      </c>
      <c r="N23" s="8">
        <f>3515.54+2154.27</f>
        <v>5669.8099999999995</v>
      </c>
      <c r="O23" s="35"/>
      <c r="P23" s="35"/>
      <c r="Q23" s="73">
        <f t="shared" ref="Q23" si="4">SUM(D23:O23)</f>
        <v>15649.189999999999</v>
      </c>
      <c r="T23" s="31"/>
    </row>
    <row r="24" spans="2:27" ht="16.149999999999999" customHeight="1" x14ac:dyDescent="0.2">
      <c r="B24" s="52" t="s">
        <v>14</v>
      </c>
      <c r="C24" s="52"/>
      <c r="D24" s="72"/>
      <c r="E24" s="34"/>
      <c r="F24" s="34"/>
      <c r="G24" s="34"/>
      <c r="H24" s="34"/>
      <c r="I24" s="34"/>
      <c r="J24" s="34"/>
      <c r="K24" s="35"/>
      <c r="N24" s="35"/>
      <c r="O24" s="35">
        <f>11245+2714+15115</f>
        <v>29074</v>
      </c>
      <c r="P24" s="35"/>
      <c r="Q24" s="73">
        <f>SUM(D24:O24)</f>
        <v>29074</v>
      </c>
      <c r="T24" s="31"/>
      <c r="U24" s="42"/>
    </row>
    <row r="25" spans="2:27" ht="16.149999999999999" customHeight="1" x14ac:dyDescent="0.2">
      <c r="B25" s="52" t="s">
        <v>15</v>
      </c>
      <c r="C25" s="52"/>
      <c r="D25" s="72"/>
      <c r="E25" s="34"/>
      <c r="F25" s="34"/>
      <c r="G25" s="34"/>
      <c r="H25" s="34"/>
      <c r="I25" s="74"/>
      <c r="J25" s="74"/>
      <c r="O25" s="35">
        <v>3000</v>
      </c>
      <c r="P25" s="35"/>
      <c r="Q25" s="73">
        <f>SUM(D25:O25)</f>
        <v>3000</v>
      </c>
      <c r="R25" s="75">
        <f>SUM(Q22:Q25)</f>
        <v>89723.19</v>
      </c>
      <c r="S25" s="20">
        <f>J23+K23+M23+N23</f>
        <v>15649.189999999999</v>
      </c>
      <c r="T25" s="31">
        <f>S25/R25</f>
        <v>0.17441633539779403</v>
      </c>
    </row>
    <row r="26" spans="2:27" ht="16.149999999999999" customHeight="1" x14ac:dyDescent="0.2">
      <c r="B26" s="61" t="s">
        <v>16</v>
      </c>
      <c r="C26" s="61"/>
      <c r="D26" s="69"/>
      <c r="E26" s="28"/>
      <c r="F26" s="76"/>
      <c r="G26" s="28"/>
      <c r="H26" s="28"/>
      <c r="I26" s="76"/>
      <c r="J26" s="76"/>
      <c r="K26" s="28">
        <f>1106.48+15100+1438.47</f>
        <v>17644.95</v>
      </c>
      <c r="L26" s="28">
        <v>243652.09</v>
      </c>
      <c r="M26" s="28">
        <v>6049.58</v>
      </c>
      <c r="N26" s="156">
        <f>42744.44+623.22+698.12+9349.55+1700+365</f>
        <v>55480.33</v>
      </c>
      <c r="O26" s="29">
        <v>15100</v>
      </c>
      <c r="P26" s="29"/>
      <c r="Q26" s="30">
        <f>SUM(D26:O26)</f>
        <v>337926.95</v>
      </c>
      <c r="R26" s="77"/>
      <c r="T26" s="31"/>
    </row>
    <row r="27" spans="2:27" ht="16.149999999999999" customHeight="1" x14ac:dyDescent="0.2">
      <c r="B27" s="61" t="s">
        <v>17</v>
      </c>
      <c r="C27" s="61"/>
      <c r="D27" s="69">
        <v>3687.47</v>
      </c>
      <c r="E27" s="28">
        <v>8585.17</v>
      </c>
      <c r="F27" s="28">
        <v>2066.37</v>
      </c>
      <c r="G27" s="28">
        <v>2204</v>
      </c>
      <c r="H27" s="28">
        <v>5241.45</v>
      </c>
      <c r="I27" s="28">
        <v>1137.48</v>
      </c>
      <c r="J27" s="28">
        <v>1831.42</v>
      </c>
      <c r="K27" s="28">
        <v>474.78</v>
      </c>
      <c r="L27" s="28">
        <v>2744.32</v>
      </c>
      <c r="M27" s="28">
        <v>2880.25</v>
      </c>
      <c r="N27" s="156">
        <f>299.03+591.7</f>
        <v>890.73</v>
      </c>
      <c r="O27" s="29">
        <v>1500</v>
      </c>
      <c r="P27" s="29"/>
      <c r="Q27" s="30">
        <f t="shared" ref="Q27" si="5">SUM(D27:O27)</f>
        <v>33243.440000000002</v>
      </c>
      <c r="T27" s="31"/>
    </row>
    <row r="28" spans="2:27" ht="16.149999999999999" customHeight="1" x14ac:dyDescent="0.2">
      <c r="B28" s="61" t="s">
        <v>19</v>
      </c>
      <c r="C28" s="61"/>
      <c r="D28" s="69"/>
      <c r="E28" s="28"/>
      <c r="F28" s="28"/>
      <c r="G28" s="28"/>
      <c r="H28" s="28"/>
      <c r="I28" s="28"/>
      <c r="J28" s="28"/>
      <c r="K28" s="68"/>
      <c r="L28" s="78"/>
      <c r="M28" s="68"/>
      <c r="N28" s="29"/>
      <c r="O28" s="29">
        <f>8000+4000</f>
        <v>12000</v>
      </c>
      <c r="P28" s="29"/>
      <c r="Q28" s="30">
        <f>SUM(D28:O28)</f>
        <v>12000</v>
      </c>
      <c r="T28" s="31"/>
    </row>
    <row r="29" spans="2:27" ht="16.149999999999999" customHeight="1" x14ac:dyDescent="0.2">
      <c r="B29" s="61" t="s">
        <v>88</v>
      </c>
      <c r="C29" s="61"/>
      <c r="D29" s="69"/>
      <c r="E29" s="28"/>
      <c r="F29" s="28"/>
      <c r="G29" s="28"/>
      <c r="H29" s="28"/>
      <c r="I29" s="28"/>
      <c r="J29" s="28"/>
      <c r="K29" s="28"/>
      <c r="L29" s="78"/>
      <c r="M29" s="68"/>
      <c r="N29" s="68"/>
      <c r="O29" s="29">
        <f>135000</f>
        <v>135000</v>
      </c>
      <c r="P29" s="29"/>
      <c r="Q29" s="30">
        <f>SUM(D29:O29)</f>
        <v>135000</v>
      </c>
      <c r="T29" s="31"/>
    </row>
    <row r="30" spans="2:27" ht="16.149999999999999" customHeight="1" x14ac:dyDescent="0.2">
      <c r="B30" s="61" t="s">
        <v>20</v>
      </c>
      <c r="C30" s="61"/>
      <c r="D30" s="69"/>
      <c r="E30" s="28"/>
      <c r="F30" s="28"/>
      <c r="G30" s="28"/>
      <c r="H30" s="28"/>
      <c r="I30" s="28"/>
      <c r="J30" s="28"/>
      <c r="K30" s="28">
        <v>8428.5300000000007</v>
      </c>
      <c r="L30" s="28">
        <v>14350.24</v>
      </c>
      <c r="M30" s="156">
        <v>11738.86</v>
      </c>
      <c r="N30" s="156">
        <v>5438.67</v>
      </c>
      <c r="O30" s="29"/>
      <c r="P30" s="29"/>
      <c r="Q30" s="30">
        <f t="shared" ref="Q30:Q31" si="6">SUM(D30:O30)</f>
        <v>39956.300000000003</v>
      </c>
      <c r="R30" s="70">
        <f>SUM(Q26:Q30)</f>
        <v>558126.69000000006</v>
      </c>
      <c r="S30" s="20">
        <f>SUM(D26:N30)</f>
        <v>394526.68999999994</v>
      </c>
      <c r="T30" s="31">
        <f>S30/R30</f>
        <v>0.70687658746439797</v>
      </c>
    </row>
    <row r="31" spans="2:27" s="66" customFormat="1" ht="16.149999999999999" customHeight="1" x14ac:dyDescent="0.2">
      <c r="B31" s="79" t="s">
        <v>71</v>
      </c>
      <c r="C31" s="79"/>
      <c r="D31" s="80">
        <v>15490.54</v>
      </c>
      <c r="E31" s="81"/>
      <c r="F31" s="81"/>
      <c r="G31" s="81"/>
      <c r="H31" s="81"/>
      <c r="I31" s="81"/>
      <c r="J31" s="81"/>
      <c r="K31" s="82"/>
      <c r="L31" s="82"/>
      <c r="M31" s="82"/>
      <c r="N31" s="82"/>
      <c r="O31" s="82"/>
      <c r="P31" s="82"/>
      <c r="Q31" s="83">
        <f t="shared" si="6"/>
        <v>15490.54</v>
      </c>
      <c r="R31" s="75">
        <f>Q31</f>
        <v>15490.54</v>
      </c>
      <c r="S31" s="71">
        <f>D31</f>
        <v>15490.54</v>
      </c>
      <c r="T31" s="84">
        <f>S31/R31</f>
        <v>1</v>
      </c>
    </row>
    <row r="32" spans="2:27" s="66" customFormat="1" ht="16.149999999999999" customHeight="1" x14ac:dyDescent="0.2">
      <c r="B32" s="61" t="s">
        <v>58</v>
      </c>
      <c r="C32" s="61"/>
      <c r="D32" s="69"/>
      <c r="E32" s="28"/>
      <c r="F32" s="28"/>
      <c r="G32" s="28"/>
      <c r="H32" s="28"/>
      <c r="I32" s="28"/>
      <c r="J32" s="28"/>
      <c r="K32" s="28">
        <v>27312.5</v>
      </c>
      <c r="L32" s="68"/>
      <c r="M32" s="163">
        <v>3750</v>
      </c>
      <c r="N32" s="156">
        <v>4812.5</v>
      </c>
      <c r="O32" s="156">
        <v>1610.69</v>
      </c>
      <c r="P32" s="29"/>
      <c r="Q32" s="30">
        <f>SUM(D32:O32)</f>
        <v>37485.69</v>
      </c>
      <c r="T32" s="84"/>
    </row>
    <row r="33" spans="2:26" s="66" customFormat="1" ht="16.149999999999999" customHeight="1" x14ac:dyDescent="0.2">
      <c r="B33" s="61" t="s">
        <v>59</v>
      </c>
      <c r="C33" s="61"/>
      <c r="D33" s="69"/>
      <c r="E33" s="28"/>
      <c r="F33" s="28"/>
      <c r="G33" s="28"/>
      <c r="H33" s="28"/>
      <c r="I33" s="28"/>
      <c r="J33" s="28"/>
      <c r="K33" s="29"/>
      <c r="L33" s="68"/>
      <c r="M33" s="68"/>
      <c r="N33" s="156">
        <f>36447.84</f>
        <v>36447.839999999997</v>
      </c>
      <c r="O33" s="29">
        <v>8000</v>
      </c>
      <c r="P33" s="29"/>
      <c r="Q33" s="30">
        <f>SUM(D33:O33)</f>
        <v>44447.839999999997</v>
      </c>
      <c r="T33" s="84"/>
    </row>
    <row r="34" spans="2:26" s="66" customFormat="1" ht="16.149999999999999" customHeight="1" x14ac:dyDescent="0.2">
      <c r="B34" s="61" t="s">
        <v>35</v>
      </c>
      <c r="C34" s="61"/>
      <c r="D34" s="69"/>
      <c r="E34" s="28"/>
      <c r="F34" s="28"/>
      <c r="G34" s="28"/>
      <c r="H34" s="28"/>
      <c r="I34" s="28"/>
      <c r="J34" s="28"/>
      <c r="K34" s="29"/>
      <c r="L34" s="68"/>
      <c r="M34" s="68"/>
      <c r="N34" s="29"/>
      <c r="O34" s="29">
        <f>2500+2500</f>
        <v>5000</v>
      </c>
      <c r="P34" s="29"/>
      <c r="Q34" s="30">
        <f>SUM(D34:O34)</f>
        <v>5000</v>
      </c>
      <c r="R34" s="70">
        <f>SUM(Q32:Q34)</f>
        <v>86933.53</v>
      </c>
      <c r="S34" s="71">
        <f>K32+M32+N32+N33</f>
        <v>72322.84</v>
      </c>
      <c r="T34" s="84">
        <f>S34/R34</f>
        <v>0.83193262714628058</v>
      </c>
    </row>
    <row r="35" spans="2:26" s="66" customFormat="1" ht="16.149999999999999" customHeight="1" x14ac:dyDescent="0.2">
      <c r="B35" s="79" t="s">
        <v>47</v>
      </c>
      <c r="C35" s="79"/>
      <c r="D35" s="80"/>
      <c r="E35" s="81">
        <v>54973.21</v>
      </c>
      <c r="F35" s="81"/>
      <c r="G35" s="81"/>
      <c r="H35" s="81"/>
      <c r="I35" s="81"/>
      <c r="J35" s="81"/>
      <c r="K35" s="82"/>
      <c r="L35" s="82"/>
      <c r="M35" s="82"/>
      <c r="N35" s="82"/>
      <c r="O35" s="82"/>
      <c r="P35" s="82"/>
      <c r="Q35" s="83">
        <f>SUM(D35:O35)</f>
        <v>54973.21</v>
      </c>
      <c r="R35" s="85">
        <f>Q35</f>
        <v>54973.21</v>
      </c>
      <c r="S35" s="71">
        <f>E35</f>
        <v>54973.21</v>
      </c>
      <c r="T35" s="84">
        <f>S35/R35</f>
        <v>1</v>
      </c>
    </row>
    <row r="36" spans="2:26" s="66" customFormat="1" ht="16.149999999999999" customHeight="1" x14ac:dyDescent="0.2">
      <c r="B36" s="61" t="s">
        <v>51</v>
      </c>
      <c r="C36" s="61"/>
      <c r="D36" s="69"/>
      <c r="E36" s="28"/>
      <c r="F36" s="28">
        <v>540.26</v>
      </c>
      <c r="G36" s="28">
        <v>11340</v>
      </c>
      <c r="H36" s="28">
        <f>5000+1440.1</f>
        <v>6440.1</v>
      </c>
      <c r="I36" s="28"/>
      <c r="J36" s="28"/>
      <c r="K36" s="29"/>
      <c r="L36" s="29"/>
      <c r="M36" s="29"/>
      <c r="N36" s="29"/>
      <c r="O36" s="29"/>
      <c r="P36" s="29"/>
      <c r="Q36" s="30">
        <f>SUM(D36:O36)</f>
        <v>18320.36</v>
      </c>
      <c r="R36" s="70">
        <f>Q36</f>
        <v>18320.36</v>
      </c>
      <c r="S36" s="71">
        <f>SUM(F36:K36)</f>
        <v>18320.36</v>
      </c>
      <c r="T36" s="84">
        <f t="shared" ref="T36:T39" si="7">S36/R36</f>
        <v>1</v>
      </c>
    </row>
    <row r="37" spans="2:26" s="66" customFormat="1" ht="16.149999999999999" customHeight="1" x14ac:dyDescent="0.2">
      <c r="B37" s="79" t="s">
        <v>52</v>
      </c>
      <c r="C37" s="79"/>
      <c r="D37" s="80"/>
      <c r="E37" s="81">
        <v>10082.91</v>
      </c>
      <c r="F37" s="81"/>
      <c r="G37" s="81"/>
      <c r="H37" s="81"/>
      <c r="I37" s="81"/>
      <c r="J37" s="81"/>
      <c r="K37" s="82"/>
      <c r="L37" s="82"/>
      <c r="M37" s="82"/>
      <c r="N37" s="82"/>
      <c r="O37" s="82"/>
      <c r="P37" s="82"/>
      <c r="Q37" s="83">
        <f t="shared" ref="Q37:Q38" si="8">SUM(D37:O37)</f>
        <v>10082.91</v>
      </c>
      <c r="R37" s="85">
        <f>Q37</f>
        <v>10082.91</v>
      </c>
      <c r="S37" s="71">
        <f>SUM(D37:K37)</f>
        <v>10082.91</v>
      </c>
      <c r="T37" s="84">
        <f t="shared" si="7"/>
        <v>1</v>
      </c>
    </row>
    <row r="38" spans="2:26" s="66" customFormat="1" ht="16.149999999999999" customHeight="1" x14ac:dyDescent="0.2">
      <c r="B38" s="79" t="s">
        <v>91</v>
      </c>
      <c r="C38" s="79"/>
      <c r="D38" s="69"/>
      <c r="E38" s="28"/>
      <c r="F38" s="28"/>
      <c r="G38" s="28"/>
      <c r="H38" s="28"/>
      <c r="I38" s="28">
        <v>2748.95</v>
      </c>
      <c r="J38" s="28"/>
      <c r="K38" s="29"/>
      <c r="L38" s="29"/>
      <c r="M38" s="29"/>
      <c r="N38" s="29"/>
      <c r="O38" s="29"/>
      <c r="P38" s="29"/>
      <c r="Q38" s="30">
        <f t="shared" si="8"/>
        <v>2748.95</v>
      </c>
      <c r="R38" s="70">
        <f>Q38</f>
        <v>2748.95</v>
      </c>
      <c r="S38" s="71">
        <f>SUM(D38:K38)</f>
        <v>2748.95</v>
      </c>
      <c r="T38" s="84">
        <f t="shared" si="7"/>
        <v>1</v>
      </c>
    </row>
    <row r="39" spans="2:26" s="66" customFormat="1" ht="16.149999999999999" customHeight="1" x14ac:dyDescent="0.2">
      <c r="B39" s="86" t="s">
        <v>89</v>
      </c>
      <c r="C39" s="79"/>
      <c r="D39" s="87"/>
      <c r="E39" s="88"/>
      <c r="F39" s="89"/>
      <c r="G39" s="89"/>
      <c r="H39" s="89">
        <v>1000</v>
      </c>
      <c r="I39" s="89"/>
      <c r="J39" s="89"/>
      <c r="K39" s="90"/>
      <c r="L39" s="90"/>
      <c r="M39" s="90"/>
      <c r="N39" s="90"/>
      <c r="O39" s="90"/>
      <c r="P39" s="90"/>
      <c r="Q39" s="91">
        <f t="shared" ref="Q39" si="9">SUM(D39:O39)</f>
        <v>1000</v>
      </c>
      <c r="R39" s="85">
        <f>Q39</f>
        <v>1000</v>
      </c>
      <c r="S39" s="71">
        <f>SUM(D39:K39)</f>
        <v>1000</v>
      </c>
      <c r="T39" s="84">
        <f t="shared" si="7"/>
        <v>1</v>
      </c>
    </row>
    <row r="40" spans="2:26" ht="16.149999999999999" customHeight="1" x14ac:dyDescent="0.2">
      <c r="B40" s="42"/>
      <c r="D40" s="74"/>
      <c r="E40" s="74"/>
      <c r="F40" s="74"/>
      <c r="G40" s="74"/>
      <c r="H40" s="74"/>
      <c r="I40" s="74"/>
      <c r="J40" s="74"/>
      <c r="K40" s="21"/>
      <c r="L40" s="21"/>
      <c r="M40" s="21"/>
      <c r="N40" s="21"/>
      <c r="O40" s="21"/>
      <c r="P40" s="21"/>
      <c r="Q40" s="21"/>
    </row>
    <row r="41" spans="2:26" ht="16.149999999999999" customHeight="1" x14ac:dyDescent="0.2">
      <c r="B41" s="52" t="s">
        <v>18</v>
      </c>
      <c r="C41" s="52"/>
      <c r="D41" s="92">
        <f t="shared" ref="D41:O41" si="10">SUM(D20:D39)</f>
        <v>19178.010000000002</v>
      </c>
      <c r="E41" s="44">
        <f>SUM(E20:E37)</f>
        <v>83664.850000000006</v>
      </c>
      <c r="F41" s="44">
        <f t="shared" si="10"/>
        <v>52349.3</v>
      </c>
      <c r="G41" s="44">
        <f t="shared" si="10"/>
        <v>29903.96</v>
      </c>
      <c r="H41" s="44">
        <f t="shared" si="10"/>
        <v>21722.730000000003</v>
      </c>
      <c r="I41" s="44">
        <f t="shared" si="10"/>
        <v>33446.76</v>
      </c>
      <c r="J41" s="44">
        <f t="shared" si="10"/>
        <v>40995.76999999999</v>
      </c>
      <c r="K41" s="44">
        <f t="shared" si="10"/>
        <v>59893.77</v>
      </c>
      <c r="L41" s="44">
        <f>SUM(L26:L39)</f>
        <v>260746.65</v>
      </c>
      <c r="M41" s="158">
        <f t="shared" si="10"/>
        <v>27248.18</v>
      </c>
      <c r="N41" s="158">
        <f t="shared" si="10"/>
        <v>112391.51</v>
      </c>
      <c r="O41" s="45">
        <f t="shared" si="10"/>
        <v>252284.69</v>
      </c>
      <c r="P41" s="45"/>
      <c r="Q41" s="46">
        <f>SUM(D41:O41)</f>
        <v>993826.18000000017</v>
      </c>
    </row>
    <row r="42" spans="2:26" ht="16.149999999999999" customHeight="1" x14ac:dyDescent="0.2">
      <c r="B42" s="52"/>
      <c r="C42" s="52"/>
      <c r="D42" s="54"/>
      <c r="E42" s="54"/>
      <c r="F42" s="54"/>
      <c r="G42" s="55"/>
      <c r="H42" s="56"/>
      <c r="I42" s="57"/>
      <c r="J42" s="55"/>
      <c r="K42" s="55"/>
      <c r="L42" s="55"/>
      <c r="M42" s="55"/>
      <c r="N42" s="55"/>
      <c r="O42" s="55"/>
      <c r="P42" s="55"/>
      <c r="Q42" s="55"/>
    </row>
    <row r="43" spans="2:26" ht="16.149999999999999" customHeight="1" x14ac:dyDescent="0.2">
      <c r="B43" s="52"/>
      <c r="C43" s="52"/>
      <c r="D43" s="54"/>
      <c r="E43" s="54"/>
      <c r="F43" s="54"/>
      <c r="G43" s="55"/>
      <c r="H43" s="56"/>
      <c r="I43" s="57"/>
      <c r="J43" s="55"/>
      <c r="K43" s="55"/>
      <c r="L43" s="55"/>
      <c r="M43" s="55"/>
      <c r="N43" s="55"/>
      <c r="O43" s="55"/>
      <c r="P43" s="55"/>
      <c r="Q43" s="55"/>
      <c r="Z43" s="20"/>
    </row>
    <row r="44" spans="2:26" ht="16.149999999999999" customHeight="1" x14ac:dyDescent="0.2">
      <c r="B44" s="93" t="s">
        <v>55</v>
      </c>
      <c r="C44" s="52"/>
      <c r="D44" s="54"/>
      <c r="E44" s="54"/>
      <c r="F44" s="54"/>
      <c r="G44" s="55"/>
      <c r="H44" s="56"/>
      <c r="I44" s="57"/>
      <c r="J44" s="55"/>
      <c r="K44" s="55"/>
      <c r="L44" s="55"/>
      <c r="M44" s="55"/>
      <c r="N44" s="55"/>
      <c r="O44" s="55"/>
      <c r="P44" s="55"/>
      <c r="Q44" s="55"/>
      <c r="V44" s="20"/>
    </row>
    <row r="45" spans="2:26" ht="16.149999999999999" customHeight="1" x14ac:dyDescent="0.2">
      <c r="B45" s="93" t="s">
        <v>57</v>
      </c>
      <c r="C45" s="52"/>
      <c r="D45" s="94" t="s">
        <v>0</v>
      </c>
      <c r="E45" s="94" t="s">
        <v>1</v>
      </c>
      <c r="F45" s="94" t="s">
        <v>2</v>
      </c>
      <c r="G45" s="94" t="s">
        <v>3</v>
      </c>
      <c r="H45" s="94" t="s">
        <v>4</v>
      </c>
      <c r="I45" s="95" t="s">
        <v>5</v>
      </c>
      <c r="J45" s="94" t="s">
        <v>6</v>
      </c>
      <c r="K45" s="94" t="s">
        <v>7</v>
      </c>
      <c r="L45" s="94" t="s">
        <v>8</v>
      </c>
      <c r="M45" s="161" t="s">
        <v>9</v>
      </c>
      <c r="N45" s="96" t="s">
        <v>10</v>
      </c>
      <c r="O45" s="96" t="s">
        <v>11</v>
      </c>
      <c r="P45" s="55"/>
      <c r="Q45" s="55"/>
      <c r="V45" s="20"/>
    </row>
    <row r="46" spans="2:26" ht="16.149999999999999" customHeight="1" x14ac:dyDescent="0.2">
      <c r="B46" s="97">
        <v>947963</v>
      </c>
      <c r="D46" s="98"/>
      <c r="E46" s="98"/>
      <c r="F46" s="98"/>
      <c r="G46" s="99"/>
      <c r="H46" s="99"/>
      <c r="I46" s="100"/>
      <c r="J46" s="99"/>
      <c r="K46" s="55"/>
      <c r="L46" s="55"/>
      <c r="M46" s="55"/>
      <c r="N46" s="55"/>
      <c r="O46" s="55"/>
      <c r="P46" s="55"/>
      <c r="Q46" s="55"/>
    </row>
    <row r="47" spans="2:26" ht="16.149999999999999" customHeight="1" x14ac:dyDescent="0.2">
      <c r="B47" s="52" t="s">
        <v>65</v>
      </c>
      <c r="C47" s="52" t="s">
        <v>78</v>
      </c>
      <c r="D47" s="101">
        <v>491008</v>
      </c>
      <c r="E47" s="102">
        <v>145699.87</v>
      </c>
      <c r="F47" s="102">
        <f>16440.1+51930.23</f>
        <v>68370.33</v>
      </c>
      <c r="G47" s="102">
        <f>9126.3+29831.78</f>
        <v>38958.080000000002</v>
      </c>
      <c r="H47" s="102">
        <v>20319.04</v>
      </c>
      <c r="I47" s="102">
        <v>14907.64</v>
      </c>
      <c r="J47" s="102">
        <v>14968.48</v>
      </c>
      <c r="K47" s="102">
        <v>13867.3</v>
      </c>
      <c r="L47" s="102">
        <v>4165.3</v>
      </c>
      <c r="M47" s="160">
        <f>607.11+1616.66</f>
        <v>2223.77</v>
      </c>
      <c r="N47" s="160">
        <f>316.41+697.37</f>
        <v>1013.78</v>
      </c>
      <c r="O47" s="103">
        <f>12622</f>
        <v>12622</v>
      </c>
      <c r="P47" s="103"/>
      <c r="Q47" s="104">
        <f>SUM(D47:O47)</f>
        <v>828123.59000000008</v>
      </c>
      <c r="S47" s="20">
        <f>SUM(D47:N47)</f>
        <v>815501.59000000008</v>
      </c>
      <c r="T47" s="84">
        <f>S47/Q47</f>
        <v>0.98475831367151367</v>
      </c>
      <c r="V47" s="20"/>
    </row>
    <row r="48" spans="2:26" ht="16.149999999999999" customHeight="1" x14ac:dyDescent="0.2">
      <c r="B48" s="52" t="s">
        <v>72</v>
      </c>
      <c r="C48" s="52" t="s">
        <v>78</v>
      </c>
      <c r="D48" s="72">
        <v>7858</v>
      </c>
      <c r="E48" s="34">
        <f>5768+1751+792</f>
        <v>8311</v>
      </c>
      <c r="F48" s="34">
        <f>SUM(7135+732+15489+8250-3344+661)</f>
        <v>28923</v>
      </c>
      <c r="G48" s="34">
        <f>7831.71+6193.93+11.03+150</f>
        <v>14186.67</v>
      </c>
      <c r="H48" s="34">
        <f>7952.31+6335.58</f>
        <v>14287.89</v>
      </c>
      <c r="I48" s="34">
        <f>12970.32+2462.57+350.79-2340-2956.75-12459.21-5246.73-875.48-6900-3344.17-810</f>
        <v>-19148.659999999996</v>
      </c>
      <c r="J48" s="34">
        <f>6839.05+5818.59</f>
        <v>12657.64</v>
      </c>
      <c r="K48" s="34">
        <f>18982.55+6576+368.25+1438.47</f>
        <v>27365.27</v>
      </c>
      <c r="L48" s="34">
        <f>7010.96+8428.53+803.67+1106.48+1106.48+3575-1142.24</f>
        <v>20888.88</v>
      </c>
      <c r="M48" s="8">
        <f>17432.43-1541.96-8624.08+14350.54</f>
        <v>21616.93</v>
      </c>
      <c r="N48" s="8">
        <f>8883+11738.86+294.24+50000</f>
        <v>70916.100000000006</v>
      </c>
      <c r="O48" s="35"/>
      <c r="P48" s="35"/>
      <c r="Q48" s="105">
        <f>SUM(D48:O48)</f>
        <v>207862.72000000003</v>
      </c>
      <c r="R48" s="20"/>
      <c r="V48" s="20"/>
    </row>
    <row r="49" spans="2:25" ht="16.149999999999999" customHeight="1" x14ac:dyDescent="0.2">
      <c r="B49" s="52" t="s">
        <v>75</v>
      </c>
      <c r="C49" s="79" t="s">
        <v>79</v>
      </c>
      <c r="D49" s="106"/>
      <c r="E49" s="81">
        <v>332564</v>
      </c>
      <c r="F49" s="81">
        <v>100852</v>
      </c>
      <c r="G49" s="81">
        <v>46086.11</v>
      </c>
      <c r="H49" s="81">
        <v>26006</v>
      </c>
      <c r="I49" s="81">
        <v>13578.77</v>
      </c>
      <c r="J49" s="107"/>
      <c r="K49" s="34">
        <v>45279.79</v>
      </c>
      <c r="L49" s="35"/>
      <c r="M49" s="35"/>
      <c r="N49" s="35"/>
      <c r="O49" s="35"/>
      <c r="P49" s="35"/>
      <c r="Q49" s="105"/>
      <c r="R49" s="20"/>
      <c r="V49" s="20"/>
    </row>
    <row r="50" spans="2:25" ht="16.149999999999999" customHeight="1" x14ac:dyDescent="0.2">
      <c r="B50" s="52" t="s">
        <v>66</v>
      </c>
      <c r="C50" s="79" t="s">
        <v>78</v>
      </c>
      <c r="D50" s="106">
        <v>0</v>
      </c>
      <c r="E50" s="108">
        <v>0</v>
      </c>
      <c r="F50" s="108">
        <v>0</v>
      </c>
      <c r="G50" s="109">
        <v>0</v>
      </c>
      <c r="H50" s="109">
        <v>0</v>
      </c>
      <c r="I50" s="108">
        <v>0</v>
      </c>
      <c r="J50" s="109">
        <v>0</v>
      </c>
      <c r="K50" s="109">
        <v>0</v>
      </c>
      <c r="L50" s="110"/>
      <c r="M50" s="110"/>
      <c r="N50" s="110"/>
      <c r="O50" s="111">
        <v>270000</v>
      </c>
      <c r="P50" s="110"/>
      <c r="Q50" s="112"/>
      <c r="V50" s="20"/>
    </row>
    <row r="51" spans="2:25" ht="16.149999999999999" customHeight="1" x14ac:dyDescent="0.2">
      <c r="B51" s="113" t="s">
        <v>67</v>
      </c>
      <c r="C51" s="86" t="s">
        <v>80</v>
      </c>
      <c r="D51" s="80">
        <f t="shared" ref="D51:N51" si="11">D14</f>
        <v>126337.91</v>
      </c>
      <c r="E51" s="81">
        <f t="shared" si="11"/>
        <v>104417.42</v>
      </c>
      <c r="F51" s="81">
        <f t="shared" si="11"/>
        <v>76223.829999999987</v>
      </c>
      <c r="G51" s="81">
        <f t="shared" si="11"/>
        <v>98006.88</v>
      </c>
      <c r="H51" s="81">
        <f t="shared" si="11"/>
        <v>101923.03</v>
      </c>
      <c r="I51" s="81">
        <f t="shared" si="11"/>
        <v>78977.669999999984</v>
      </c>
      <c r="J51" s="81">
        <f t="shared" si="11"/>
        <v>118376.04000000001</v>
      </c>
      <c r="K51" s="81">
        <f t="shared" si="11"/>
        <v>116268.02</v>
      </c>
      <c r="L51" s="81">
        <f t="shared" si="11"/>
        <v>75311.27</v>
      </c>
      <c r="M51" s="9">
        <f t="shared" si="11"/>
        <v>87827.11</v>
      </c>
      <c r="N51" s="9">
        <f t="shared" si="11"/>
        <v>108501.95</v>
      </c>
      <c r="O51" s="111">
        <f>O14+68</f>
        <v>-4040</v>
      </c>
      <c r="P51" s="111"/>
      <c r="Q51" s="114">
        <f>SUM(D51:O51)</f>
        <v>1088131.1300000001</v>
      </c>
      <c r="V51" s="20"/>
    </row>
    <row r="52" spans="2:25" ht="16.149999999999999" customHeight="1" x14ac:dyDescent="0.2">
      <c r="B52" s="113" t="s">
        <v>68</v>
      </c>
      <c r="C52" s="86" t="s">
        <v>85</v>
      </c>
      <c r="D52" s="80">
        <v>15491</v>
      </c>
      <c r="E52" s="81">
        <f>E41-E20-E21-E27-E35</f>
        <v>10082.910000000011</v>
      </c>
      <c r="F52" s="81">
        <v>540.26</v>
      </c>
      <c r="G52" s="81">
        <v>1620</v>
      </c>
      <c r="H52" s="81">
        <v>1000</v>
      </c>
      <c r="I52" s="115">
        <v>2748.95</v>
      </c>
      <c r="J52" s="108"/>
      <c r="K52" s="116"/>
      <c r="L52" s="111"/>
      <c r="M52" s="111"/>
      <c r="N52" s="9">
        <f>16291.86+61510.7</f>
        <v>77802.559999999998</v>
      </c>
      <c r="O52" s="111">
        <f t="shared" ref="O52" si="12">O41</f>
        <v>252284.69</v>
      </c>
      <c r="P52" s="111"/>
      <c r="Q52" s="114">
        <f>SUM(D52:O52)</f>
        <v>361570.37</v>
      </c>
    </row>
    <row r="53" spans="2:25" ht="16.149999999999999" customHeight="1" x14ac:dyDescent="0.2">
      <c r="B53" s="86" t="s">
        <v>87</v>
      </c>
      <c r="C53" s="86" t="s">
        <v>87</v>
      </c>
      <c r="D53" s="106"/>
      <c r="E53" s="108"/>
      <c r="F53" s="108"/>
      <c r="G53" s="108"/>
      <c r="H53" s="108"/>
      <c r="I53" s="81"/>
      <c r="J53" s="108"/>
      <c r="K53" s="111"/>
      <c r="L53" s="117"/>
      <c r="M53" s="82"/>
      <c r="N53" s="82"/>
      <c r="O53" s="82"/>
      <c r="P53" s="111"/>
      <c r="Q53" s="118"/>
      <c r="W53" s="53"/>
    </row>
    <row r="54" spans="2:25" ht="16.149999999999999" customHeight="1" x14ac:dyDescent="0.2">
      <c r="B54" s="42" t="s">
        <v>36</v>
      </c>
      <c r="C54" s="66"/>
      <c r="D54" s="119">
        <f>$B$46+(D48-D51-D52)+309471</f>
        <v>1123463.0899999999</v>
      </c>
      <c r="E54" s="120">
        <f>D54+E47+E50-E51-E52</f>
        <v>1154662.6300000001</v>
      </c>
      <c r="F54" s="120">
        <f>E54+F47+F48-F49+F50-F51-F52</f>
        <v>1074339.8700000001</v>
      </c>
      <c r="G54" s="120">
        <f>F54+G47+G48+G50-G51-G52-G49</f>
        <v>981771.63000000012</v>
      </c>
      <c r="H54" s="120">
        <f>G54+H47+H48+H50-H51-H52-H49</f>
        <v>887449.53000000014</v>
      </c>
      <c r="I54" s="120">
        <f>H54+I47+I48+I50-I51-I52-I49</f>
        <v>787903.12000000011</v>
      </c>
      <c r="J54" s="120">
        <f>I54+J47+J48+J50-J51-J52-J49</f>
        <v>697153.20000000007</v>
      </c>
      <c r="K54" s="120">
        <f>J54+K47+K48+K50-K51-K52-K49</f>
        <v>576837.96000000008</v>
      </c>
      <c r="L54" s="120">
        <f>K54+L47+L48+L50-L51-L52-L49+L53</f>
        <v>526580.87000000011</v>
      </c>
      <c r="M54" s="120">
        <f>L54+M47+M48+M50-M51-M52-M49+M53</f>
        <v>462594.4600000002</v>
      </c>
      <c r="N54" s="120">
        <f>M54+N47+N48+N50-N51-N52-N49+N53</f>
        <v>348219.83000000019</v>
      </c>
      <c r="O54" s="165">
        <f t="shared" ref="O54" si="13">N54+O47+O48+O50-O51-O52-O49</f>
        <v>382597.14000000019</v>
      </c>
      <c r="P54" s="111"/>
      <c r="Q54" s="121"/>
      <c r="Y54" s="21"/>
    </row>
    <row r="55" spans="2:25" ht="16.149999999999999" customHeight="1" x14ac:dyDescent="0.2">
      <c r="B55" s="42"/>
      <c r="C55" s="66"/>
      <c r="D55" s="122"/>
      <c r="E55" s="122"/>
      <c r="F55" s="123"/>
      <c r="G55" s="124" t="s">
        <v>48</v>
      </c>
      <c r="H55" s="125">
        <f>6*93095</f>
        <v>558570</v>
      </c>
      <c r="I55" s="122"/>
      <c r="J55" s="124" t="s">
        <v>50</v>
      </c>
      <c r="K55" s="126">
        <f>4*93095</f>
        <v>372380</v>
      </c>
      <c r="L55" s="127"/>
      <c r="M55" s="127"/>
      <c r="N55" s="127"/>
      <c r="O55" s="111"/>
      <c r="P55" s="111"/>
      <c r="Q55" s="111"/>
      <c r="V55" s="20">
        <f>Q47+Q59</f>
        <v>1392490.09</v>
      </c>
    </row>
    <row r="56" spans="2:25" ht="16.149999999999999" customHeight="1" x14ac:dyDescent="0.2">
      <c r="B56" s="128" t="s">
        <v>56</v>
      </c>
      <c r="C56" s="66"/>
      <c r="D56" s="123"/>
      <c r="E56" s="123"/>
      <c r="F56" s="123"/>
      <c r="G56" s="129"/>
      <c r="H56" s="129"/>
      <c r="I56" s="130"/>
      <c r="J56" s="123"/>
      <c r="K56" s="127"/>
      <c r="L56" s="127"/>
      <c r="M56" s="127"/>
      <c r="N56" s="127"/>
      <c r="O56" s="111"/>
      <c r="P56" s="111"/>
      <c r="Q56" s="111"/>
    </row>
    <row r="57" spans="2:25" ht="16.149999999999999" customHeight="1" x14ac:dyDescent="0.2">
      <c r="B57" s="128" t="s">
        <v>57</v>
      </c>
      <c r="C57" s="66"/>
      <c r="D57" s="123"/>
      <c r="E57" s="123"/>
      <c r="F57" s="123"/>
      <c r="G57" s="129"/>
      <c r="H57" s="129"/>
      <c r="I57" s="130"/>
      <c r="J57" s="123"/>
      <c r="K57" s="127"/>
      <c r="L57" s="127"/>
      <c r="M57" s="127"/>
      <c r="N57" s="127"/>
      <c r="O57" s="127"/>
      <c r="P57" s="127"/>
      <c r="Q57" s="127"/>
    </row>
    <row r="58" spans="2:25" ht="16.149999999999999" customHeight="1" x14ac:dyDescent="0.2">
      <c r="B58" s="97">
        <v>894478</v>
      </c>
      <c r="C58" s="131"/>
      <c r="D58" s="123"/>
      <c r="E58" s="123"/>
      <c r="F58" s="123"/>
      <c r="G58" s="129"/>
      <c r="H58" s="129"/>
      <c r="I58" s="132"/>
      <c r="J58" s="123"/>
      <c r="K58" s="127"/>
      <c r="L58" s="127"/>
      <c r="M58" s="127"/>
      <c r="N58" s="127"/>
      <c r="O58" s="127"/>
      <c r="P58" s="127"/>
      <c r="Q58" s="127"/>
    </row>
    <row r="59" spans="2:25" ht="16.149999999999999" customHeight="1" x14ac:dyDescent="0.2">
      <c r="B59" s="42" t="s">
        <v>64</v>
      </c>
      <c r="C59" s="86" t="s">
        <v>78</v>
      </c>
      <c r="D59" s="133">
        <v>332564</v>
      </c>
      <c r="E59" s="134">
        <v>100851.78</v>
      </c>
      <c r="F59" s="134">
        <v>46086.11</v>
      </c>
      <c r="G59" s="134">
        <v>26006.05</v>
      </c>
      <c r="H59" s="134">
        <v>13578.77</v>
      </c>
      <c r="I59" s="81"/>
      <c r="J59" s="134"/>
      <c r="K59" s="134"/>
      <c r="L59" s="135"/>
      <c r="M59" s="135"/>
      <c r="N59" s="135"/>
      <c r="O59" s="135"/>
      <c r="P59" s="136"/>
      <c r="Q59" s="137">
        <f>SUM(D59:O59)+K60+M60</f>
        <v>564366.5</v>
      </c>
      <c r="R59" s="20"/>
      <c r="S59" s="20">
        <v>552907</v>
      </c>
      <c r="T59" s="84">
        <f>S59/Q59</f>
        <v>0.97969493228247961</v>
      </c>
    </row>
    <row r="60" spans="2:25" ht="16.149999999999999" customHeight="1" x14ac:dyDescent="0.2">
      <c r="B60" s="42" t="s">
        <v>63</v>
      </c>
      <c r="C60" s="86" t="s">
        <v>81</v>
      </c>
      <c r="D60" s="106"/>
      <c r="E60" s="81">
        <v>332563.52</v>
      </c>
      <c r="F60" s="81">
        <f>E59</f>
        <v>100851.78</v>
      </c>
      <c r="G60" s="81">
        <f>F59</f>
        <v>46086.11</v>
      </c>
      <c r="H60" s="81">
        <f>G59</f>
        <v>26006.05</v>
      </c>
      <c r="I60" s="81">
        <v>13578.77</v>
      </c>
      <c r="J60" s="108"/>
      <c r="K60" s="81">
        <v>36655.71</v>
      </c>
      <c r="L60" s="111"/>
      <c r="M60" s="9">
        <v>8624.08</v>
      </c>
      <c r="N60" s="111"/>
      <c r="O60" s="111"/>
      <c r="P60" s="111"/>
      <c r="Q60" s="138"/>
    </row>
    <row r="61" spans="2:25" ht="16.149999999999999" customHeight="1" x14ac:dyDescent="0.2">
      <c r="B61" s="42" t="s">
        <v>61</v>
      </c>
      <c r="C61" s="86" t="s">
        <v>82</v>
      </c>
      <c r="D61" s="106">
        <v>0</v>
      </c>
      <c r="E61" s="108">
        <v>0</v>
      </c>
      <c r="F61" s="108">
        <v>0</v>
      </c>
      <c r="G61" s="109">
        <v>0</v>
      </c>
      <c r="H61" s="109">
        <v>0</v>
      </c>
      <c r="I61" s="7">
        <v>0</v>
      </c>
      <c r="J61" s="107"/>
      <c r="N61" s="164">
        <f>61830.54-11830.54</f>
        <v>50000</v>
      </c>
      <c r="O61" s="82">
        <v>11830.54</v>
      </c>
      <c r="P61" s="111"/>
      <c r="Q61" s="139"/>
    </row>
    <row r="62" spans="2:25" ht="16.149999999999999" customHeight="1" x14ac:dyDescent="0.2">
      <c r="B62" s="42" t="s">
        <v>73</v>
      </c>
      <c r="C62" s="86" t="s">
        <v>83</v>
      </c>
      <c r="D62" s="80">
        <f>163727</f>
        <v>163727</v>
      </c>
      <c r="E62" s="81">
        <f>D62-E20</f>
        <v>160838.14000000001</v>
      </c>
      <c r="F62" s="81">
        <f>E62-E21-F20</f>
        <v>109966.36</v>
      </c>
      <c r="G62" s="115">
        <f>F62-F21-G20</f>
        <v>93936.39</v>
      </c>
      <c r="H62" s="115">
        <f>G62-G21-H20</f>
        <v>81022.2</v>
      </c>
      <c r="I62" s="115">
        <f>H62-H21-I20+2956.75+5246.73</f>
        <v>63021.369999999981</v>
      </c>
      <c r="J62" s="81">
        <f>I62-I21-J20</f>
        <v>29774.519999999986</v>
      </c>
      <c r="K62" s="81">
        <v>134112.23000000001</v>
      </c>
      <c r="L62" s="9">
        <v>133308.56</v>
      </c>
      <c r="M62" s="9">
        <v>132931.63</v>
      </c>
      <c r="N62" s="9">
        <v>133308.56</v>
      </c>
      <c r="O62" s="111"/>
      <c r="P62" s="111"/>
      <c r="Q62" s="140"/>
    </row>
    <row r="63" spans="2:25" ht="16.149999999999999" customHeight="1" x14ac:dyDescent="0.2">
      <c r="B63" s="113" t="s">
        <v>74</v>
      </c>
      <c r="C63" s="86" t="s">
        <v>84</v>
      </c>
      <c r="D63" s="81">
        <f>D41-D52</f>
        <v>3687.010000000002</v>
      </c>
      <c r="E63" s="81">
        <f>E41-E37-E21</f>
        <v>66447.240000000005</v>
      </c>
      <c r="F63" s="81">
        <f>F41-F21+E21-F36</f>
        <v>52938.15</v>
      </c>
      <c r="G63" s="81">
        <f>G41-G21+F21-1620</f>
        <v>27953.969999999998</v>
      </c>
      <c r="H63" s="81">
        <f>H41-H21+G21-H52</f>
        <v>24595.740000000005</v>
      </c>
      <c r="I63" s="81">
        <f>I41-I21+H21-I52</f>
        <v>27341.79</v>
      </c>
      <c r="J63" s="81">
        <f>J41-J21+I21-J52</f>
        <v>39870.109999999986</v>
      </c>
      <c r="K63" s="81">
        <f>K41+99176.92+1438.47</f>
        <v>160509.16</v>
      </c>
      <c r="L63" s="81">
        <f>L41-L21+K21-L52-L30+K30</f>
        <v>255628.61000000002</v>
      </c>
      <c r="M63" s="9">
        <f>M41-M21+L21-M52-M30+L30</f>
        <v>29565.32</v>
      </c>
      <c r="N63" s="9">
        <v>47229.18</v>
      </c>
      <c r="O63" s="111">
        <f t="shared" ref="O63" si="14">O41</f>
        <v>252284.69</v>
      </c>
      <c r="P63" s="111"/>
      <c r="Q63" s="114">
        <f>SUM(N63:O63)</f>
        <v>299513.87</v>
      </c>
    </row>
    <row r="64" spans="2:25" ht="16.149999999999999" customHeight="1" x14ac:dyDescent="0.2">
      <c r="B64" s="86" t="s">
        <v>86</v>
      </c>
      <c r="C64" s="86" t="s">
        <v>86</v>
      </c>
      <c r="D64" s="87"/>
      <c r="E64" s="89"/>
      <c r="F64" s="89"/>
      <c r="G64" s="89"/>
      <c r="H64" s="141"/>
      <c r="I64" s="141"/>
      <c r="J64" s="142"/>
      <c r="K64" s="143"/>
      <c r="L64" s="39"/>
      <c r="M64" s="90"/>
      <c r="N64" s="90"/>
      <c r="O64" s="90"/>
      <c r="P64" s="111"/>
      <c r="Q64" s="118"/>
    </row>
    <row r="65" spans="2:22" ht="16.149999999999999" customHeight="1" x14ac:dyDescent="0.2">
      <c r="B65" s="42" t="s">
        <v>69</v>
      </c>
      <c r="C65" s="66"/>
      <c r="D65" s="87">
        <f>SUM($B$58+D60+D62-D63)</f>
        <v>1054517.99</v>
      </c>
      <c r="E65" s="89">
        <f>D65-E63+E60</f>
        <v>1320634.27</v>
      </c>
      <c r="F65" s="89">
        <f>E65+F60-F63</f>
        <v>1368547.9000000001</v>
      </c>
      <c r="G65" s="89">
        <f>F65+G60-G63</f>
        <v>1386680.0400000003</v>
      </c>
      <c r="H65" s="89">
        <f>G65+H59-H63</f>
        <v>1375663.0700000003</v>
      </c>
      <c r="I65" s="132">
        <f>H65+I59-I63</f>
        <v>1348321.2800000003</v>
      </c>
      <c r="J65" s="132">
        <f t="shared" ref="J65:O65" si="15">I65+J59-J63</f>
        <v>1308451.1700000004</v>
      </c>
      <c r="K65" s="89">
        <f>J65+K60-K63</f>
        <v>1184597.7200000004</v>
      </c>
      <c r="L65" s="89">
        <f>K65+L59-L63-L64</f>
        <v>928969.11000000045</v>
      </c>
      <c r="M65" s="162">
        <f>L65+M59-M63+M60</f>
        <v>908027.87000000046</v>
      </c>
      <c r="N65" s="162">
        <f>M65+N59-N63+N60</f>
        <v>860798.69000000041</v>
      </c>
      <c r="O65" s="143">
        <f t="shared" si="15"/>
        <v>608514.00000000047</v>
      </c>
      <c r="P65" s="144"/>
      <c r="Q65" s="145"/>
      <c r="R65" s="146" t="s">
        <v>90</v>
      </c>
    </row>
    <row r="66" spans="2:22" ht="16.149999999999999" customHeight="1" x14ac:dyDescent="0.2">
      <c r="B66" s="42"/>
      <c r="C66" s="66"/>
      <c r="D66" s="109"/>
      <c r="E66" s="109"/>
      <c r="F66" s="109"/>
      <c r="G66" s="109"/>
      <c r="H66" s="109"/>
      <c r="I66" s="115"/>
      <c r="J66" s="147"/>
      <c r="K66" s="148"/>
      <c r="L66" s="148"/>
      <c r="M66" s="148"/>
      <c r="N66" s="148"/>
      <c r="O66" s="148"/>
      <c r="P66" s="145"/>
      <c r="Q66" s="66"/>
    </row>
    <row r="67" spans="2:22" ht="16.149999999999999" customHeight="1" x14ac:dyDescent="0.2">
      <c r="C67" s="66"/>
      <c r="D67" s="149"/>
      <c r="E67" s="149"/>
      <c r="F67" s="149"/>
      <c r="G67" s="71"/>
      <c r="H67" s="150"/>
      <c r="I67" s="151"/>
      <c r="J67" s="71"/>
      <c r="K67" s="71"/>
      <c r="L67" s="71"/>
      <c r="M67" s="71"/>
      <c r="N67" s="71"/>
      <c r="O67" s="71"/>
      <c r="P67" s="71"/>
      <c r="Q67" s="71"/>
    </row>
    <row r="68" spans="2:22" ht="16.149999999999999" customHeight="1" x14ac:dyDescent="0.2">
      <c r="B68" s="152"/>
      <c r="C68" s="66"/>
      <c r="D68" s="66"/>
      <c r="E68" s="66"/>
      <c r="F68" s="66"/>
      <c r="G68" s="66"/>
      <c r="H68" s="153"/>
      <c r="I68" s="154"/>
      <c r="J68" s="66"/>
      <c r="K68" s="66"/>
      <c r="L68" s="66"/>
      <c r="M68" s="66"/>
      <c r="N68" s="66"/>
      <c r="O68" s="66"/>
      <c r="P68" s="71"/>
      <c r="Q68" s="71"/>
    </row>
    <row r="69" spans="2:22" ht="16.149999999999999" customHeight="1" x14ac:dyDescent="0.2">
      <c r="C69" s="66"/>
      <c r="D69" s="149"/>
      <c r="E69" s="149"/>
      <c r="F69" s="149"/>
      <c r="G69" s="71"/>
      <c r="H69" s="150"/>
      <c r="I69" s="151"/>
      <c r="J69" s="71"/>
      <c r="K69" s="71"/>
      <c r="L69" s="71"/>
      <c r="M69" s="71"/>
      <c r="N69" s="71"/>
      <c r="O69" s="71"/>
      <c r="P69" s="71"/>
      <c r="Q69" s="66"/>
    </row>
    <row r="70" spans="2:22" ht="16.149999999999999" customHeight="1" x14ac:dyDescent="0.2">
      <c r="C70" s="66"/>
      <c r="D70" s="149"/>
      <c r="E70" s="149"/>
      <c r="F70" s="149"/>
      <c r="G70" s="71"/>
      <c r="H70" s="150"/>
      <c r="I70" s="151"/>
      <c r="J70" s="71"/>
      <c r="K70" s="71"/>
      <c r="L70" s="71"/>
      <c r="M70" s="71"/>
      <c r="N70" s="71"/>
      <c r="O70" s="71"/>
      <c r="P70" s="71"/>
      <c r="Q70" s="66"/>
    </row>
    <row r="71" spans="2:22" ht="16.149999999999999" customHeight="1" x14ac:dyDescent="0.2">
      <c r="D71" s="48"/>
      <c r="E71" s="48"/>
      <c r="F71" s="48"/>
      <c r="G71" s="20"/>
      <c r="H71" s="50"/>
      <c r="I71" s="51"/>
      <c r="J71" s="20"/>
      <c r="K71" s="20"/>
      <c r="L71" s="20"/>
      <c r="M71" s="20"/>
      <c r="N71" s="20"/>
      <c r="O71" s="20"/>
      <c r="P71" s="20"/>
    </row>
    <row r="72" spans="2:22" ht="16.149999999999999" customHeight="1" x14ac:dyDescent="0.2">
      <c r="D72" s="48"/>
      <c r="E72" s="48"/>
      <c r="F72" s="48"/>
      <c r="G72" s="20"/>
      <c r="H72" s="50"/>
      <c r="I72" s="51"/>
      <c r="J72" s="20"/>
      <c r="K72" s="20"/>
      <c r="L72" s="20"/>
      <c r="M72" s="20"/>
      <c r="N72" s="20"/>
      <c r="O72" s="20"/>
      <c r="P72" s="20"/>
      <c r="V72" s="21"/>
    </row>
    <row r="73" spans="2:22" ht="16.149999999999999" customHeight="1" x14ac:dyDescent="0.2">
      <c r="D73" s="48"/>
      <c r="E73" s="48"/>
      <c r="F73" s="48"/>
      <c r="G73" s="20"/>
      <c r="H73" s="50"/>
      <c r="I73" s="51"/>
      <c r="J73" s="20"/>
      <c r="K73" s="20"/>
      <c r="L73" s="20"/>
      <c r="M73" s="20"/>
      <c r="N73" s="20"/>
      <c r="O73" s="20"/>
      <c r="P73" s="20"/>
    </row>
    <row r="74" spans="2:22" ht="16.149999999999999" customHeight="1" x14ac:dyDescent="0.2">
      <c r="D74" s="48"/>
      <c r="E74" s="48"/>
      <c r="F74" s="48"/>
      <c r="G74" s="20"/>
      <c r="H74" s="50"/>
      <c r="I74" s="51"/>
      <c r="J74" s="20"/>
      <c r="K74" s="20"/>
      <c r="L74" s="20"/>
      <c r="M74" s="20"/>
      <c r="N74" s="20"/>
      <c r="O74" s="20"/>
      <c r="P74" s="20"/>
    </row>
    <row r="75" spans="2:22" ht="16.149999999999999" customHeight="1" x14ac:dyDescent="0.2">
      <c r="D75" s="48"/>
      <c r="E75" s="48"/>
      <c r="F75" s="48"/>
      <c r="G75" s="20"/>
      <c r="H75" s="50"/>
      <c r="I75" s="51"/>
      <c r="J75" s="20"/>
      <c r="K75" s="20"/>
      <c r="L75" s="20"/>
      <c r="M75" s="20"/>
      <c r="N75" s="20"/>
      <c r="O75" s="20"/>
      <c r="P75" s="20"/>
    </row>
    <row r="76" spans="2:22" ht="16.149999999999999" customHeight="1" x14ac:dyDescent="0.2">
      <c r="D76" s="48"/>
      <c r="E76" s="48"/>
      <c r="F76" s="48"/>
      <c r="G76" s="20"/>
      <c r="H76" s="50"/>
      <c r="I76" s="51"/>
      <c r="J76" s="20"/>
      <c r="K76" s="20"/>
      <c r="L76" s="20"/>
      <c r="M76" s="20"/>
      <c r="N76" s="20"/>
      <c r="O76" s="20"/>
      <c r="P76" s="20"/>
    </row>
    <row r="77" spans="2:22" ht="16.149999999999999" customHeight="1" x14ac:dyDescent="0.2">
      <c r="D77" s="48"/>
      <c r="E77" s="48"/>
      <c r="F77" s="48"/>
      <c r="G77" s="20"/>
      <c r="H77" s="50"/>
      <c r="I77" s="51"/>
      <c r="J77" s="20"/>
      <c r="K77" s="20"/>
      <c r="L77" s="20"/>
      <c r="M77" s="20"/>
      <c r="N77" s="20"/>
      <c r="O77" s="20"/>
      <c r="P77" s="20"/>
    </row>
    <row r="78" spans="2:22" ht="16.149999999999999" customHeight="1" x14ac:dyDescent="0.2">
      <c r="D78" s="48"/>
      <c r="E78" s="48"/>
      <c r="F78" s="48"/>
      <c r="G78" s="20"/>
      <c r="H78" s="50"/>
      <c r="I78" s="51"/>
      <c r="J78" s="20"/>
      <c r="K78" s="20"/>
      <c r="L78" s="20"/>
      <c r="M78" s="20"/>
      <c r="N78" s="20"/>
      <c r="O78" s="20"/>
      <c r="P78" s="20"/>
    </row>
    <row r="79" spans="2:22" ht="16.149999999999999" customHeight="1" x14ac:dyDescent="0.2">
      <c r="D79" s="48"/>
      <c r="E79" s="48"/>
      <c r="F79" s="48"/>
      <c r="G79" s="20"/>
      <c r="H79" s="50"/>
      <c r="I79" s="51"/>
      <c r="J79" s="20"/>
      <c r="K79" s="20"/>
      <c r="L79" s="20"/>
      <c r="M79" s="20"/>
      <c r="N79" s="20"/>
      <c r="O79" s="20"/>
      <c r="P79" s="20"/>
    </row>
    <row r="80" spans="2:22" ht="16.149999999999999" customHeight="1" x14ac:dyDescent="0.2">
      <c r="D80" s="48"/>
      <c r="E80" s="48"/>
      <c r="F80" s="48"/>
      <c r="G80" s="20"/>
      <c r="H80" s="50"/>
      <c r="I80" s="51"/>
      <c r="J80" s="20"/>
      <c r="K80" s="20"/>
      <c r="L80" s="20"/>
      <c r="M80" s="20"/>
      <c r="N80" s="20"/>
      <c r="O80" s="20"/>
      <c r="P80" s="20"/>
    </row>
  </sheetData>
  <mergeCells count="2">
    <mergeCell ref="E5:O5"/>
    <mergeCell ref="D18:Q18"/>
  </mergeCells>
  <printOptions horizontalCentered="1" verticalCentered="1" gridLines="1"/>
  <pageMargins left="0.2" right="0.2" top="0.25" bottom="0.25" header="0.3" footer="0.3"/>
  <pageSetup paperSize="17" scale="70" orientation="landscape" r:id="rId1"/>
  <headerFooter>
    <oddHeader>&amp;CSurfside 2017 Spend Plan&amp;R&amp;D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"/>
  <sheetViews>
    <sheetView workbookViewId="0">
      <selection activeCell="K28" sqref="K28"/>
    </sheetView>
  </sheetViews>
  <sheetFormatPr defaultRowHeight="12.75" x14ac:dyDescent="0.2"/>
  <cols>
    <col min="1" max="7" width="16.28515625" customWidth="1"/>
  </cols>
  <sheetData>
    <row r="1" spans="1:7" x14ac:dyDescent="0.2">
      <c r="A1" s="1" t="s">
        <v>44</v>
      </c>
      <c r="B1" s="1"/>
      <c r="C1" s="1"/>
      <c r="D1" s="1"/>
      <c r="E1" s="1"/>
      <c r="F1" s="1"/>
      <c r="G1" s="1"/>
    </row>
    <row r="2" spans="1:7" x14ac:dyDescent="0.2">
      <c r="A2" s="2"/>
      <c r="B2" s="5" t="s">
        <v>30</v>
      </c>
      <c r="C2" s="5" t="s">
        <v>31</v>
      </c>
      <c r="D2" s="5" t="s">
        <v>34</v>
      </c>
      <c r="E2" s="5" t="s">
        <v>33</v>
      </c>
      <c r="F2" s="4"/>
      <c r="G2" s="4"/>
    </row>
    <row r="3" spans="1:7" x14ac:dyDescent="0.2">
      <c r="A3" s="2" t="s">
        <v>45</v>
      </c>
      <c r="B3" s="6">
        <v>608335</v>
      </c>
      <c r="C3" s="6">
        <v>608355</v>
      </c>
      <c r="D3" s="6">
        <f>649971+60000+5+110164+24889+400+10553+89695+100149+11299+201401</f>
        <v>1258526</v>
      </c>
      <c r="E3" s="6">
        <v>947963</v>
      </c>
      <c r="F3" s="3">
        <f>E3-D3</f>
        <v>-310563</v>
      </c>
      <c r="G3" s="1">
        <f>F3/12</f>
        <v>-25880.25</v>
      </c>
    </row>
    <row r="4" spans="1:7" x14ac:dyDescent="0.2">
      <c r="A4" s="2"/>
      <c r="B4" s="6"/>
      <c r="C4" s="6"/>
      <c r="D4" s="6"/>
      <c r="E4" s="6"/>
      <c r="F4" s="1"/>
      <c r="G4" s="1"/>
    </row>
    <row r="5" spans="1:7" x14ac:dyDescent="0.2">
      <c r="A5" s="2" t="s">
        <v>29</v>
      </c>
      <c r="B5" s="6">
        <f>367700+186841+56659+46386+100050</f>
        <v>757636</v>
      </c>
      <c r="C5" s="6">
        <f>367710+186841+56659+46386+100050</f>
        <v>757646</v>
      </c>
      <c r="D5" s="6">
        <f>367719+56659+46385+186840+100049</f>
        <v>757652</v>
      </c>
      <c r="E5" s="6">
        <v>894478</v>
      </c>
      <c r="F5" s="3">
        <f>E5-D5</f>
        <v>136826</v>
      </c>
      <c r="G5" s="1"/>
    </row>
    <row r="6" spans="1:7" x14ac:dyDescent="0.2">
      <c r="A6" s="2"/>
      <c r="B6" s="6"/>
      <c r="C6" s="6"/>
      <c r="D6" s="6"/>
      <c r="E6" s="6"/>
      <c r="F6" s="1"/>
      <c r="G6" s="1"/>
    </row>
    <row r="7" spans="1:7" x14ac:dyDescent="0.2">
      <c r="A7" s="2" t="s">
        <v>32</v>
      </c>
      <c r="B7" s="6">
        <v>161795</v>
      </c>
      <c r="C7" s="6">
        <v>161795</v>
      </c>
      <c r="D7" s="6">
        <v>137336</v>
      </c>
      <c r="E7" s="6">
        <v>163726</v>
      </c>
      <c r="F7" s="3">
        <f>E7-D7</f>
        <v>26390</v>
      </c>
      <c r="G7" s="1"/>
    </row>
    <row r="8" spans="1:7" x14ac:dyDescent="0.2">
      <c r="A8" s="2"/>
      <c r="B8" s="6"/>
      <c r="C8" s="6"/>
      <c r="D8" s="6"/>
      <c r="E8" s="6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2"/>
      <c r="B13" s="2"/>
      <c r="C13" s="2"/>
      <c r="D13" s="2"/>
      <c r="E13" s="2"/>
      <c r="F13" s="2"/>
      <c r="G13" s="2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3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 t="s">
        <v>46</v>
      </c>
      <c r="B20" s="1"/>
      <c r="C20" s="1"/>
      <c r="D20" s="1"/>
      <c r="E20" s="3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 t="s">
        <v>37</v>
      </c>
      <c r="B22" s="1"/>
      <c r="C22" s="1" t="s">
        <v>38</v>
      </c>
      <c r="D22" s="1"/>
      <c r="E22" s="3">
        <v>202100</v>
      </c>
      <c r="F22" s="3">
        <f>E22/12</f>
        <v>16841.666666666668</v>
      </c>
      <c r="G22" s="1"/>
    </row>
    <row r="23" spans="1:7" x14ac:dyDescent="0.2">
      <c r="A23" s="1"/>
      <c r="B23" s="1"/>
      <c r="C23" s="1" t="s">
        <v>39</v>
      </c>
      <c r="D23" s="1"/>
      <c r="E23" s="3">
        <v>626031</v>
      </c>
      <c r="F23" s="3">
        <f>E23/12</f>
        <v>52169.25</v>
      </c>
      <c r="G23" s="3">
        <f>F22+F23</f>
        <v>69010.916666666672</v>
      </c>
    </row>
    <row r="24" spans="1:7" x14ac:dyDescent="0.2">
      <c r="A24" s="1"/>
      <c r="B24" s="1"/>
      <c r="C24" s="1" t="s">
        <v>40</v>
      </c>
      <c r="D24" s="1"/>
      <c r="E24" s="3">
        <v>564366</v>
      </c>
      <c r="F24" s="3">
        <f>E24/12</f>
        <v>47030.5</v>
      </c>
      <c r="G24" s="1"/>
    </row>
    <row r="25" spans="1:7" x14ac:dyDescent="0.2">
      <c r="A25" s="1"/>
      <c r="B25" s="1"/>
      <c r="C25" s="1"/>
      <c r="D25" s="1"/>
      <c r="E25" s="3">
        <v>1392497</v>
      </c>
      <c r="F25" s="1"/>
      <c r="G25" s="1"/>
    </row>
    <row r="26" spans="1:7" x14ac:dyDescent="0.2">
      <c r="A26" s="1"/>
      <c r="B26" s="1"/>
      <c r="C26" s="1"/>
      <c r="D26" s="1"/>
      <c r="E26" s="3"/>
      <c r="F26" s="1"/>
      <c r="G26" s="1"/>
    </row>
    <row r="27" spans="1:7" x14ac:dyDescent="0.2">
      <c r="A27" s="1" t="s">
        <v>41</v>
      </c>
      <c r="B27" s="1"/>
      <c r="C27" s="1" t="s">
        <v>42</v>
      </c>
      <c r="D27" s="1"/>
      <c r="E27" s="3">
        <v>828131</v>
      </c>
      <c r="F27" s="3">
        <f>E27/12</f>
        <v>69010.916666666672</v>
      </c>
      <c r="G27" s="1"/>
    </row>
    <row r="28" spans="1:7" x14ac:dyDescent="0.2">
      <c r="A28" s="1"/>
      <c r="B28" s="1"/>
      <c r="C28" s="1"/>
      <c r="D28" s="1"/>
      <c r="E28" s="3"/>
      <c r="F28" s="3"/>
      <c r="G28" s="1"/>
    </row>
    <row r="29" spans="1:7" x14ac:dyDescent="0.2">
      <c r="A29" s="1"/>
      <c r="B29" s="1"/>
      <c r="C29" s="1"/>
      <c r="D29" s="1"/>
      <c r="E29" s="3"/>
      <c r="F29" s="3"/>
      <c r="G29" s="1"/>
    </row>
    <row r="30" spans="1:7" x14ac:dyDescent="0.2">
      <c r="A30" s="1"/>
      <c r="B30" s="1"/>
      <c r="C30" s="1"/>
      <c r="D30" s="1"/>
      <c r="E30" s="3"/>
      <c r="F30" s="3"/>
      <c r="G30" s="1"/>
    </row>
    <row r="31" spans="1:7" x14ac:dyDescent="0.2">
      <c r="A31" s="1"/>
      <c r="B31" s="1"/>
      <c r="C31" s="1" t="s">
        <v>43</v>
      </c>
      <c r="D31" s="1"/>
      <c r="E31" s="3">
        <v>564366</v>
      </c>
      <c r="F31" s="1">
        <f>E31/E27</f>
        <v>0.68149362842352235</v>
      </c>
      <c r="G31" s="1"/>
    </row>
    <row r="32" spans="1:7" x14ac:dyDescent="0.2">
      <c r="A32" s="1"/>
      <c r="B32" s="1"/>
      <c r="C32" s="1"/>
      <c r="D32" s="1"/>
      <c r="E32" s="3"/>
      <c r="F32" s="1"/>
      <c r="G32" s="1"/>
    </row>
    <row r="33" spans="6:6" x14ac:dyDescent="0.2">
      <c r="F33">
        <f>1-F31</f>
        <v>0.31850637157647765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2017SpendPlan</vt:lpstr>
      <vt:lpstr>BackgroundInformation</vt:lpstr>
      <vt:lpstr>Green_are_actuals</vt:lpstr>
      <vt:lpstr>'2017SpendPlan'!Print_Area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Neal</dc:creator>
  <cp:lastModifiedBy>Finance</cp:lastModifiedBy>
  <cp:lastPrinted>2017-11-13T18:56:34Z</cp:lastPrinted>
  <dcterms:created xsi:type="dcterms:W3CDTF">2017-01-21T21:44:50Z</dcterms:created>
  <dcterms:modified xsi:type="dcterms:W3CDTF">2017-12-26T21:44:36Z</dcterms:modified>
</cp:coreProperties>
</file>