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\Documents\2021 BOARD REPORTS\FEBRUARY 2021\"/>
    </mc:Choice>
  </mc:AlternateContent>
  <xr:revisionPtr revIDLastSave="0" documentId="8_{E08546F4-87E0-4850-A711-1B395C8EA962}" xr6:coauthVersionLast="46" xr6:coauthVersionMax="46" xr10:uidLastSave="{00000000-0000-0000-0000-000000000000}"/>
  <bookViews>
    <workbookView xWindow="735" yWindow="735" windowWidth="26055" windowHeight="15210" xr2:uid="{B7390C8E-E2B3-4D11-B357-7E4B3DF44D6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9" i="1" l="1"/>
  <c r="O69" i="1"/>
  <c r="N69" i="1"/>
  <c r="M69" i="1"/>
  <c r="L69" i="1"/>
  <c r="K69" i="1"/>
  <c r="J69" i="1"/>
  <c r="I69" i="1"/>
  <c r="H69" i="1"/>
  <c r="G69" i="1"/>
  <c r="F69" i="1"/>
  <c r="E69" i="1"/>
  <c r="K66" i="1"/>
  <c r="D64" i="1"/>
  <c r="P61" i="1"/>
  <c r="O61" i="1"/>
  <c r="N61" i="1"/>
  <c r="L61" i="1"/>
  <c r="I61" i="1"/>
  <c r="H61" i="1"/>
  <c r="G61" i="1"/>
  <c r="F61" i="1"/>
  <c r="E61" i="1"/>
  <c r="C61" i="1"/>
  <c r="K58" i="1"/>
  <c r="K57" i="1" s="1"/>
  <c r="K61" i="1" s="1"/>
  <c r="J58" i="1"/>
  <c r="M57" i="1"/>
  <c r="M61" i="1" s="1"/>
  <c r="J57" i="1"/>
  <c r="J61" i="1" s="1"/>
  <c r="P53" i="1"/>
  <c r="O53" i="1"/>
  <c r="N53" i="1"/>
  <c r="M53" i="1"/>
  <c r="L53" i="1"/>
  <c r="J53" i="1"/>
  <c r="I53" i="1"/>
  <c r="H53" i="1"/>
  <c r="G53" i="1"/>
  <c r="F53" i="1"/>
  <c r="R52" i="1"/>
  <c r="R50" i="1"/>
  <c r="R49" i="1"/>
  <c r="R47" i="1"/>
  <c r="C45" i="1"/>
  <c r="R44" i="1"/>
  <c r="R43" i="1"/>
  <c r="R42" i="1"/>
  <c r="C40" i="1"/>
  <c r="E39" i="1"/>
  <c r="E53" i="1" s="1"/>
  <c r="R53" i="1" s="1"/>
  <c r="R38" i="1"/>
  <c r="R37" i="1"/>
  <c r="R35" i="1"/>
  <c r="R32" i="1"/>
  <c r="C32" i="1"/>
  <c r="S32" i="1" s="1"/>
  <c r="R31" i="1"/>
  <c r="C31" i="1"/>
  <c r="S31" i="1" s="1"/>
  <c r="R30" i="1"/>
  <c r="C30" i="1"/>
  <c r="S30" i="1" s="1"/>
  <c r="K29" i="1"/>
  <c r="K53" i="1" s="1"/>
  <c r="J29" i="1"/>
  <c r="E29" i="1"/>
  <c r="C29" i="1"/>
  <c r="D27" i="1"/>
  <c r="R26" i="1"/>
  <c r="R25" i="1"/>
  <c r="D25" i="1"/>
  <c r="C25" i="1"/>
  <c r="W24" i="1"/>
  <c r="S24" i="1"/>
  <c r="R24" i="1"/>
  <c r="R23" i="1"/>
  <c r="W23" i="1" s="1"/>
  <c r="D21" i="1"/>
  <c r="U19" i="1"/>
  <c r="P19" i="1"/>
  <c r="O19" i="1"/>
  <c r="M19" i="1"/>
  <c r="L19" i="1"/>
  <c r="K19" i="1"/>
  <c r="J19" i="1"/>
  <c r="I19" i="1"/>
  <c r="H19" i="1"/>
  <c r="G19" i="1"/>
  <c r="F19" i="1"/>
  <c r="E19" i="1"/>
  <c r="R19" i="1" s="1"/>
  <c r="W19" i="1" s="1"/>
  <c r="D19" i="1"/>
  <c r="C19" i="1"/>
  <c r="N18" i="1"/>
  <c r="N19" i="1" s="1"/>
  <c r="W17" i="1"/>
  <c r="S17" i="1"/>
  <c r="R17" i="1"/>
  <c r="R16" i="1"/>
  <c r="W16" i="1" s="1"/>
  <c r="W15" i="1"/>
  <c r="S15" i="1"/>
  <c r="R15" i="1"/>
  <c r="R14" i="1"/>
  <c r="W14" i="1" s="1"/>
  <c r="W13" i="1"/>
  <c r="S13" i="1"/>
  <c r="R13" i="1"/>
  <c r="R12" i="1"/>
  <c r="W12" i="1" s="1"/>
  <c r="W11" i="1"/>
  <c r="S11" i="1"/>
  <c r="R11" i="1"/>
  <c r="R6" i="1"/>
  <c r="W6" i="1" s="1"/>
  <c r="S5" i="1"/>
  <c r="P5" i="1"/>
  <c r="J5" i="1"/>
  <c r="R4" i="1"/>
  <c r="R5" i="1" s="1"/>
  <c r="P4" i="1"/>
  <c r="O4" i="1"/>
  <c r="O5" i="1" s="1"/>
  <c r="N4" i="1"/>
  <c r="N5" i="1" s="1"/>
  <c r="M4" i="1"/>
  <c r="M5" i="1" s="1"/>
  <c r="L4" i="1"/>
  <c r="L5" i="1" s="1"/>
  <c r="K4" i="1"/>
  <c r="K5" i="1" s="1"/>
  <c r="J4" i="1"/>
  <c r="I4" i="1"/>
  <c r="I5" i="1" s="1"/>
  <c r="H4" i="1"/>
  <c r="H5" i="1" s="1"/>
  <c r="G4" i="1"/>
  <c r="G5" i="1" s="1"/>
  <c r="F4" i="1"/>
  <c r="F5" i="1" s="1"/>
  <c r="E4" i="1"/>
  <c r="E5" i="1" s="1"/>
  <c r="R3" i="1"/>
  <c r="C33" i="1" l="1"/>
  <c r="R29" i="1"/>
  <c r="S12" i="1"/>
  <c r="S14" i="1"/>
  <c r="S16" i="1"/>
  <c r="R18" i="1"/>
  <c r="S23" i="1"/>
  <c r="S25" i="1" s="1"/>
  <c r="S27" i="1" s="1"/>
  <c r="R39" i="1"/>
  <c r="R40" i="1" s="1"/>
  <c r="S40" i="1" s="1"/>
  <c r="S19" i="1" l="1"/>
  <c r="S21" i="1" s="1"/>
  <c r="S29" i="1"/>
  <c r="S33" i="1" s="1"/>
  <c r="R33" i="1"/>
  <c r="W18" i="1"/>
  <c r="S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  <author>tc={3D27C0A1-0617-46C9-AEBC-ADFC3CE822B1}</author>
    <author>tc={AB81B899-0AD6-430D-8060-FF78F0D04502}</author>
    <author>tc={A9E27C76-382E-4A8E-B220-C9DEB98F70ED}</author>
    <author>tc={2229416A-98A4-46D8-99FD-5FBBB4718609}</author>
    <author>tc={2854DAA6-36C7-4CB3-83C1-6D491CAB89F9}</author>
    <author>tc={A12E6131-4BF4-475D-A78F-7331173D04A4}</author>
    <author>tc={2B5D66B1-C371-46D4-B82F-D91ED687A175}</author>
    <author>tc={1F45B016-6958-4798-9120-DEBDADC459D8}</author>
    <author>tc={F9B74D35-2808-4AB9-87D0-687873C9A1EC}</author>
    <author>tc={6A371566-ACA8-4191-AF0C-6CFE3CC91A51}</author>
    <author>tc={8B769D9E-6DD9-4DC7-83B7-A33905BD9F90}</author>
    <author>tc={45BA504D-1BEA-4764-B7C8-541D179FA601}</author>
    <author>tc={D9E20620-A1DD-41CC-9DC0-AA5C0179673E}</author>
    <author>tc={C1D93A15-4DFD-49FB-BFE8-9601AFFCEE58}</author>
    <author>tc={61FE67BD-A359-4FE8-A4C8-52BC1822DA6A}</author>
    <author>tc={AF0A30D8-83C3-48CF-AF00-07CEFD1C8043}</author>
    <author>tc={CE651B7D-AD0E-42D7-A040-C84A7BD77BF6}</author>
    <author>tc={FDB43F35-61AB-4B8D-846E-A0343E63E399}</author>
    <author>tc={A8C95FC0-FD49-48AA-9552-5676C1FD22C1}</author>
    <author>tc={807A5419-95D4-4039-AE11-A5A46F5645A1}</author>
    <author>tc={6A795A7A-98AE-4317-AD30-9E0C9A388CE5}</author>
    <author>tc={E1582335-972A-436E-A00E-1C3F856665FB}</author>
    <author>tc={3DC549D7-61A2-47BF-AA1A-0FF952AB9D43}</author>
    <author>tc={87447AC2-DA8B-453C-AE9E-FBAD20197B33}</author>
    <author>tc={2C8F285B-2106-41CE-9929-D6A0615CD591}</author>
    <author>tc={D1FFDC62-0D5C-4ABD-8129-1B78C374CAFC}</author>
    <author>tc={D7BD0A62-2C7C-4A16-A3ED-45D320A7FE7F}</author>
    <author>tc={56257E9C-7E98-406D-8631-A682D4CFA578}</author>
    <author>tc={38E40D49-F224-4A95-A0F3-3ECAF6EBFB06}</author>
    <author>tc={EDC6D47D-7909-4725-A13A-5AA9469941A0}</author>
    <author>tc={27972FA3-AAFF-48A6-B9C2-13D6A72164A9}</author>
    <author>tc={BCCAC937-1DEE-4FD1-A179-8FAD165C945E}</author>
    <author>tc={4008E768-F387-4C50-8A64-48622CF30636}</author>
  </authors>
  <commentList>
    <comment ref="H4" authorId="0" shapeId="0" xr:uid="{85714E81-7406-42C6-8238-2963AA5DD730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Incl $10,000 EIDL from SBA
</t>
        </r>
      </text>
    </comment>
    <comment ref="I4" authorId="1" shapeId="0" xr:uid="{3D27C0A1-0617-46C9-AEBC-ADFC3CE822B1}">
      <text>
        <t>[Threaded comment]
Your version of Excel allows you to read this threaded comment; however, any edits to it will get removed if the file is opened in a newer version of Excel. Learn more: https://go.microsoft.com/fwlink/?linkid=870924
Comment:
    $10,000 Aaron Brooks portion of Mini Excav purchase</t>
      </text>
    </comment>
    <comment ref="J4" authorId="2" shapeId="0" xr:uid="{AB81B899-0AD6-430D-8060-FF78F0D04502}">
      <text>
        <t>[Threaded comment]
Your version of Excel allows you to read this threaded comment; however, any edits to it will get removed if the file is opened in a newer version of Excel. Learn more: https://go.microsoft.com/fwlink/?linkid=870924
Comment:
    $5,000 is Chris S. portion of mini-excav purchase</t>
      </text>
    </comment>
    <comment ref="E5" authorId="3" shapeId="0" xr:uid="{A9E27C76-382E-4A8E-B220-C9DEB98F70ED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F5" authorId="4" shapeId="0" xr:uid="{2229416A-98A4-46D8-99FD-5FBBB4718609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G5" authorId="5" shapeId="0" xr:uid="{2854DAA6-36C7-4CB3-83C1-6D491CAB89F9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H5" authorId="6" shapeId="0" xr:uid="{A12E6131-4BF4-475D-A78F-7331173D04A4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I5" authorId="7" shapeId="0" xr:uid="{2B5D66B1-C371-46D4-B82F-D91ED687A175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J5" authorId="8" shapeId="0" xr:uid="{1F45B016-6958-4798-9120-DEBDADC459D8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K5" authorId="9" shapeId="0" xr:uid="{F9B74D35-2808-4AB9-87D0-687873C9A1EC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L5" authorId="10" shapeId="0" xr:uid="{6A371566-ACA8-4191-AF0C-6CFE3CC91A51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M5" authorId="11" shapeId="0" xr:uid="{8B769D9E-6DD9-4DC7-83B7-A33905BD9F90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N5" authorId="12" shapeId="0" xr:uid="{45BA504D-1BEA-4764-B7C8-541D179FA601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O5" authorId="13" shapeId="0" xr:uid="{D9E20620-A1DD-41CC-9DC0-AA5C0179673E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P5" authorId="14" shapeId="0" xr:uid="{C1D93A15-4DFD-49FB-BFE8-9601AFFCEE58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R5" authorId="15" shapeId="0" xr:uid="{61FE67BD-A359-4FE8-A4C8-52BC1822DA6A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S5" authorId="16" shapeId="0" xr:uid="{AF0A30D8-83C3-48CF-AF00-07CEFD1C8043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does not incl Trans Fee</t>
      </text>
    </comment>
    <comment ref="D11" authorId="0" shapeId="0" xr:uid="{6C1D8FE5-2A90-4CCC-B114-D02F58B03864}">
      <text>
        <r>
          <rPr>
            <b/>
            <sz val="9"/>
            <color indexed="81"/>
            <rFont val="Tahoma"/>
            <family val="2"/>
          </rPr>
          <t>Finance: Budget incl full salary for Gen Mgr, not split w/wtr dept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7" shapeId="0" xr:uid="{CE651B7D-AD0E-42D7-A040-C84A7BD77BF6}">
      <text>
        <t>[Threaded comment]
Your version of Excel allows you to read this threaded comment; however, any edits to it will get removed if the file is opened in a newer version of Excel. Learn more: https://go.microsoft.com/fwlink/?linkid=870924
Comment:
    Postage for packets s/b credit in October. Recorded as expense</t>
      </text>
    </comment>
    <comment ref="D13" authorId="0" shapeId="0" xr:uid="{B003B17B-C95B-4133-AE19-6048867561AF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Full salary of Gen Mgr is in Bus Off budget. No Wtr System Mgr
</t>
        </r>
      </text>
    </comment>
    <comment ref="O18" authorId="18" shapeId="0" xr:uid="{FDB43F35-61AB-4B8D-846E-A0343E63E399}">
      <text>
        <t>[Threaded comment]
Your version of Excel allows you to read this threaded comment; however, any edits to it will get removed if the file is opened in a newer version of Excel. Learn more: https://go.microsoft.com/fwlink/?linkid=870924
Comment:
    Postage for packets in Oct s/b Surfside Activites.  Recorded as credit not expense</t>
      </text>
    </comment>
    <comment ref="D25" authorId="19" shapeId="0" xr:uid="{A8C95FC0-FD49-48AA-9552-5676C1FD22C1}">
      <text>
        <t>[Threaded comment]
Your version of Excel allows you to read this threaded comment; however, any edits to it will get removed if the file is opened in a newer version of Excel. Learn more: https://go.microsoft.com/fwlink/?linkid=870924
Comment:
    Budget reduced by $15K due to excess in WMR chkg</t>
      </text>
    </comment>
    <comment ref="E39" authorId="20" shapeId="0" xr:uid="{807A5419-95D4-4039-AE11-A5A46F5645A1}">
      <text>
        <t>[Threaded comment]
Your version of Excel allows you to read this threaded comment; however, any edits to it will get removed if the file is opened in a newer version of Excel. Learn more: https://go.microsoft.com/fwlink/?linkid=870924
Comment:
    Long Beach Mitigation Bank</t>
      </text>
    </comment>
    <comment ref="F39" authorId="21" shapeId="0" xr:uid="{6A795A7A-98AE-4317-AD30-9E0C9A388CE5}">
      <text>
        <t>[Threaded comment]
Your version of Excel allows you to read this threaded comment; however, any edits to it will get removed if the file is opened in a newer version of Excel. Learn more: https://go.microsoft.com/fwlink/?linkid=870924
Comment:
    CARL Variance</t>
      </text>
    </comment>
    <comment ref="E47" authorId="0" shapeId="0" xr:uid="{7EF649C1-CA47-4DBF-9485-9BB19F00231D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Materials &amp; mileage to Toby for shed behind bus off
</t>
        </r>
      </text>
    </comment>
    <comment ref="G59" authorId="22" shapeId="0" xr:uid="{E1582335-972A-436E-A00E-1C3F856665F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 in Ops funds total</t>
      </text>
    </comment>
    <comment ref="A60" authorId="0" shapeId="0" xr:uid="{3EF68DDE-22DF-4198-A512-E93CB78FFD24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Funds are deposited into BOP Ops. 
</t>
        </r>
      </text>
    </comment>
    <comment ref="F61" authorId="23" shapeId="0" xr:uid="{3DC549D7-61A2-47BF-AA1A-0FF952AB9D43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G61" authorId="24" shapeId="0" xr:uid="{87447AC2-DA8B-453C-AE9E-FBAD20197B33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H61" authorId="25" shapeId="0" xr:uid="{2C8F285B-2106-41CE-9929-D6A0615CD591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I61" authorId="26" shapeId="0" xr:uid="{D1FFDC62-0D5C-4ABD-8129-1B78C374CAFC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J61" authorId="27" shapeId="0" xr:uid="{D7BD0A62-2C7C-4A16-A3ED-45D320A7FE7F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K61" authorId="28" shapeId="0" xr:uid="{56257E9C-7E98-406D-8631-A682D4CFA578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L61" authorId="29" shapeId="0" xr:uid="{38E40D49-F224-4A95-A0F3-3ECAF6EBFB06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M61" authorId="30" shapeId="0" xr:uid="{EDC6D47D-7909-4725-A13A-5AA9469941A0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N61" authorId="31" shapeId="0" xr:uid="{27972FA3-AAFF-48A6-B9C2-13D6A72164A9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O61" authorId="32" shapeId="0" xr:uid="{BCCAC937-1DEE-4FD1-A179-8FAD165C945E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  <comment ref="P61" authorId="33" shapeId="0" xr:uid="{4008E768-F387-4C50-8A64-48622CF30636}">
      <text>
        <t>[Threaded comment]
Your version of Excel allows you to read this threaded comment; however, any edits to it will get removed if the file is opened in a newer version of Excel. Learn more: https://go.microsoft.com/fwlink/?linkid=870924
Comment:
    Prepaids incl in Ops bank Total</t>
      </text>
    </comment>
  </commentList>
</comments>
</file>

<file path=xl/sharedStrings.xml><?xml version="1.0" encoding="utf-8"?>
<sst xmlns="http://schemas.openxmlformats.org/spreadsheetml/2006/main" count="75" uniqueCount="69">
  <si>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</si>
  <si>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</si>
  <si>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</si>
  <si>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</si>
  <si>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</si>
  <si>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</si>
  <si>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</si>
  <si>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</si>
  <si>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</si>
  <si>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</si>
  <si>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</si>
  <si>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</si>
  <si>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Residual Budget</t>
  </si>
  <si>
    <t>2020 Budget</t>
  </si>
  <si>
    <t xml:space="preserve">2020 Actual </t>
  </si>
  <si>
    <t>2019 Actual Budget Available to Completion</t>
  </si>
  <si>
    <t>2020 Remaining Estimated Expenditures</t>
  </si>
  <si>
    <t>2020 Estimated Budget Available to Completion</t>
  </si>
  <si>
    <t>2020   Percent of Budget</t>
  </si>
  <si>
    <t>2019 Percent of Budget</t>
  </si>
  <si>
    <t>Dues &amp; Assessments</t>
  </si>
  <si>
    <t>N/A</t>
  </si>
  <si>
    <t>Miscellaneous Income (Ops Offset)</t>
  </si>
  <si>
    <t>Totals</t>
  </si>
  <si>
    <t>Transfer Fees  (Estimate. New for 2020)</t>
  </si>
  <si>
    <t xml:space="preserve">Operational Expenditures </t>
  </si>
  <si>
    <t>2020 Actuals</t>
  </si>
  <si>
    <t xml:space="preserve"> Business Office</t>
  </si>
  <si>
    <t xml:space="preserve"> Administrative Department</t>
  </si>
  <si>
    <t xml:space="preserve"> Water Department</t>
  </si>
  <si>
    <t xml:space="preserve"> Common Property Department</t>
  </si>
  <si>
    <t xml:space="preserve"> Sheriff Patrol Department</t>
  </si>
  <si>
    <t xml:space="preserve"> Refuse/Compactor Department</t>
  </si>
  <si>
    <t xml:space="preserve"> Recreational Vehicle Department</t>
  </si>
  <si>
    <t>Surfside Activities</t>
  </si>
  <si>
    <r>
      <rPr>
        <b/>
        <sz val="11"/>
        <color theme="1"/>
        <rFont val="Consolas"/>
        <family val="3"/>
      </rPr>
      <t>Less</t>
    </r>
    <r>
      <rPr>
        <sz val="11"/>
        <color theme="1"/>
        <rFont val="Consolas"/>
        <family val="2"/>
      </rPr>
      <t xml:space="preserve"> Operational Offset</t>
    </r>
  </si>
  <si>
    <t xml:space="preserve">Capital Expenditures </t>
  </si>
  <si>
    <t>WMR Labor</t>
  </si>
  <si>
    <t>WMR Materials</t>
  </si>
  <si>
    <t>Budget</t>
  </si>
  <si>
    <r>
      <rPr>
        <b/>
        <sz val="11"/>
        <color theme="1"/>
        <rFont val="Consolas"/>
        <family val="3"/>
      </rPr>
      <t>Less</t>
    </r>
    <r>
      <rPr>
        <sz val="11"/>
        <color theme="1"/>
        <rFont val="Consolas"/>
        <family val="3"/>
      </rPr>
      <t xml:space="preserve"> Previous Years Excess</t>
    </r>
  </si>
  <si>
    <t>Oysterville Loop Materials</t>
  </si>
  <si>
    <t>Oyterville Loop Professional</t>
  </si>
  <si>
    <t>Oysterville Loop Labor</t>
  </si>
  <si>
    <t>Oysterville Loop Easement</t>
  </si>
  <si>
    <t xml:space="preserve"> Budget</t>
  </si>
  <si>
    <t>Treatment Plant Materials</t>
  </si>
  <si>
    <t>Treatment Plant Building (Sub Contract)</t>
  </si>
  <si>
    <t>Treatment Plant Surfside Labor</t>
  </si>
  <si>
    <t>Treatment Plant Well Install</t>
  </si>
  <si>
    <t>Treatment Plant Professional</t>
  </si>
  <si>
    <t>Water Department Equipment      (Replace Mini-Excavator-Reserve Study)</t>
  </si>
  <si>
    <t>Water Department Equipment           (Metering Pumps, Trucks)</t>
  </si>
  <si>
    <t>Water Department Booster Office Remodel (Reserve Study)</t>
  </si>
  <si>
    <t>Business Office                        2018/2019 for VoIP Rollover</t>
  </si>
  <si>
    <r>
      <t>Compactor #2 (</t>
    </r>
    <r>
      <rPr>
        <sz val="9"/>
        <color theme="1"/>
        <rFont val="Consolas"/>
        <family val="3"/>
      </rPr>
      <t>Reserve Study</t>
    </r>
    <r>
      <rPr>
        <sz val="11"/>
        <color theme="1"/>
        <rFont val="Consolas"/>
        <family val="2"/>
      </rPr>
      <t>)</t>
    </r>
  </si>
  <si>
    <r>
      <t xml:space="preserve">RV/Compactor Improvement </t>
    </r>
    <r>
      <rPr>
        <sz val="9"/>
        <color theme="1"/>
        <rFont val="Consolas"/>
        <family val="3"/>
      </rPr>
      <t>(Reserve Study)</t>
    </r>
  </si>
  <si>
    <t>Water System Plan</t>
  </si>
  <si>
    <t>TOTAL</t>
  </si>
  <si>
    <t>Operational Funds (reconciled balances)</t>
  </si>
  <si>
    <t>CDs Total</t>
  </si>
  <si>
    <t>Member Prepay Balance incl.in Op Funds</t>
  </si>
  <si>
    <t>RV Storage Income</t>
  </si>
  <si>
    <t xml:space="preserve">Reserve Funds </t>
  </si>
  <si>
    <t>Beginning Balances</t>
  </si>
  <si>
    <t>Bank Of Pacific - Capital Reserve</t>
  </si>
  <si>
    <t>Raymond Fed Bank - 6yr Wtr Pl/SELP</t>
  </si>
  <si>
    <t>GNWFCU - WMR Checking</t>
  </si>
  <si>
    <t>GNWFCU - WMR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</si>
</sst>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b/>
      <sz val="11"/>
      <color theme="5" tint="-0.249977111117893"/>
      <name val="Consolas"/>
      <family val="3"/>
    </font>
    <font>
      <b/>
      <sz val="10"/>
      <name val="Consolas"/>
      <family val="3"/>
    </font>
    <font>
      <sz val="10"/>
      <color theme="5" tint="-0.249977111117893"/>
      <name val="Consolas"/>
      <family val="3"/>
    </font>
    <font>
      <sz val="10"/>
      <name val="Consolas"/>
      <family val="3"/>
    </font>
    <font>
      <b/>
      <sz val="11"/>
      <color theme="1"/>
      <name val="Consolas"/>
      <family val="3"/>
    </font>
    <font>
      <sz val="11"/>
      <color theme="5" tint="-0.249977111117893"/>
      <name val="Consolas"/>
      <family val="3"/>
    </font>
    <font>
      <sz val="11"/>
      <name val="Consolas"/>
      <family val="3"/>
    </font>
    <font>
      <b/>
      <sz val="12"/>
      <color theme="5" tint="-0.249977111117893"/>
      <name val="Consolas"/>
      <family val="3"/>
    </font>
    <font>
      <b/>
      <sz val="12"/>
      <color theme="1"/>
      <name val="Consolas"/>
      <family val="3"/>
    </font>
    <font>
      <b/>
      <i/>
      <sz val="12"/>
      <name val="Consolas"/>
      <family val="3"/>
    </font>
    <font>
      <b/>
      <i/>
      <sz val="12"/>
      <color theme="1"/>
      <name val="Consolas"/>
      <family val="3"/>
    </font>
    <font>
      <b/>
      <sz val="10"/>
      <color theme="5" tint="-0.249977111117893"/>
      <name val="Consolas"/>
      <family val="3"/>
    </font>
    <font>
      <b/>
      <sz val="10"/>
      <color theme="1"/>
      <name val="Consolas"/>
      <family val="3"/>
    </font>
    <font>
      <b/>
      <sz val="12"/>
      <name val="Consolas"/>
      <family val="3"/>
    </font>
    <font>
      <b/>
      <i/>
      <sz val="11"/>
      <color theme="1"/>
      <name val="Consolas"/>
      <family val="3"/>
    </font>
    <font>
      <b/>
      <i/>
      <sz val="11"/>
      <color theme="5" tint="-0.249977111117893"/>
      <name val="Consolas"/>
      <family val="3"/>
    </font>
    <font>
      <i/>
      <sz val="10"/>
      <name val="Consolas"/>
      <family val="3"/>
    </font>
    <font>
      <b/>
      <i/>
      <sz val="10"/>
      <color theme="5" tint="-0.249977111117893"/>
      <name val="Consolas"/>
      <family val="3"/>
    </font>
    <font>
      <sz val="10"/>
      <color theme="1"/>
      <name val="Consolas"/>
      <family val="3"/>
    </font>
    <font>
      <sz val="10"/>
      <color theme="5"/>
      <name val="Consolas"/>
      <family val="3"/>
    </font>
    <font>
      <b/>
      <sz val="10"/>
      <color theme="5"/>
      <name val="Consolas"/>
      <family val="3"/>
    </font>
    <font>
      <sz val="11"/>
      <color theme="5"/>
      <name val="Consolas"/>
      <family val="3"/>
    </font>
    <font>
      <b/>
      <sz val="11"/>
      <name val="Consolas"/>
      <family val="3"/>
    </font>
    <font>
      <b/>
      <i/>
      <sz val="10"/>
      <color theme="1"/>
      <name val="Consolas"/>
      <family val="3"/>
    </font>
    <font>
      <sz val="11"/>
      <color theme="1"/>
      <name val="Consolas"/>
      <family val="3"/>
    </font>
    <font>
      <b/>
      <i/>
      <sz val="11"/>
      <name val="Consolas"/>
      <family val="3"/>
    </font>
    <font>
      <b/>
      <sz val="11"/>
      <color theme="5"/>
      <name val="Consolas"/>
      <family val="3"/>
    </font>
    <font>
      <sz val="9"/>
      <color theme="1"/>
      <name val="Consolas"/>
      <family val="3"/>
    </font>
    <font>
      <b/>
      <u/>
      <sz val="11"/>
      <color theme="5" tint="-0.249977111117893"/>
      <name val="Consolas"/>
      <family val="3"/>
    </font>
    <font>
      <b/>
      <u/>
      <sz val="11"/>
      <color theme="5"/>
      <name val="Consolas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3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right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6" fillId="0" borderId="0" xfId="0" applyNumberFormat="1" applyFont="1"/>
    <xf numFmtId="3" fontId="3" fillId="2" borderId="0" xfId="0" applyNumberFormat="1" applyFont="1" applyFill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0" fontId="14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center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7" fillId="0" borderId="0" xfId="0" applyFont="1"/>
    <xf numFmtId="3" fontId="17" fillId="0" borderId="0" xfId="0" applyNumberFormat="1" applyFont="1" applyAlignment="1">
      <alignment horizontal="right" wrapText="1"/>
    </xf>
    <xf numFmtId="3" fontId="18" fillId="0" borderId="2" xfId="0" applyNumberFormat="1" applyFont="1" applyBorder="1"/>
    <xf numFmtId="3" fontId="3" fillId="0" borderId="2" xfId="0" applyNumberFormat="1" applyFont="1" applyBorder="1"/>
    <xf numFmtId="3" fontId="18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9" fillId="0" borderId="0" xfId="0" applyNumberFormat="1" applyFont="1"/>
    <xf numFmtId="3" fontId="13" fillId="0" borderId="0" xfId="0" applyNumberFormat="1" applyFont="1" applyAlignment="1">
      <alignment horizontal="right" wrapText="1"/>
    </xf>
    <xf numFmtId="10" fontId="20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21" fillId="0" borderId="0" xfId="0" applyFont="1"/>
    <xf numFmtId="3" fontId="2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25" fillId="0" borderId="0" xfId="0" applyFont="1"/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3" fontId="25" fillId="2" borderId="0" xfId="0" applyNumberFormat="1" applyFont="1" applyFill="1" applyAlignment="1">
      <alignment horizontal="right" wrapText="1"/>
    </xf>
    <xf numFmtId="3" fontId="28" fillId="2" borderId="0" xfId="0" applyNumberFormat="1" applyFont="1" applyFill="1" applyAlignment="1">
      <alignment horizontal="right" wrapText="1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0" fontId="27" fillId="0" borderId="0" xfId="0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3" fontId="3" fillId="2" borderId="7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5" fillId="2" borderId="1" xfId="0" applyNumberFormat="1" applyFont="1" applyFill="1" applyBorder="1" applyAlignment="1">
      <alignment horizontal="right" wrapText="1"/>
    </xf>
    <xf numFmtId="3" fontId="28" fillId="2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3" fontId="26" fillId="3" borderId="0" xfId="0" applyNumberFormat="1" applyFont="1" applyFill="1" applyAlignment="1">
      <alignment horizontal="right"/>
    </xf>
    <xf numFmtId="3" fontId="0" fillId="0" borderId="0" xfId="0" applyNumberFormat="1"/>
    <xf numFmtId="3" fontId="7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/>
    <xf numFmtId="3" fontId="25" fillId="2" borderId="0" xfId="0" applyNumberFormat="1" applyFont="1" applyFill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3" fontId="4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right"/>
    </xf>
    <xf numFmtId="3" fontId="7" fillId="2" borderId="1" xfId="0" applyNumberFormat="1" applyFont="1" applyFill="1" applyBorder="1" applyAlignment="1">
      <alignment horizontal="right" wrapText="1"/>
    </xf>
    <xf numFmtId="3" fontId="7" fillId="2" borderId="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wrapText="1"/>
    </xf>
    <xf numFmtId="3" fontId="7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/>
    <xf numFmtId="3" fontId="9" fillId="2" borderId="7" xfId="0" applyNumberFormat="1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5" fillId="0" borderId="0" xfId="0" applyFont="1"/>
    <xf numFmtId="0" fontId="0" fillId="2" borderId="0" xfId="0" applyFill="1"/>
    <xf numFmtId="3" fontId="7" fillId="2" borderId="10" xfId="0" applyNumberFormat="1" applyFont="1" applyFill="1" applyBorder="1" applyAlignment="1">
      <alignment horizontal="right"/>
    </xf>
    <xf numFmtId="0" fontId="27" fillId="2" borderId="0" xfId="0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right" wrapText="1"/>
    </xf>
    <xf numFmtId="3" fontId="14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9" fillId="0" borderId="0" xfId="0" applyNumberFormat="1" applyFont="1"/>
    <xf numFmtId="3" fontId="9" fillId="0" borderId="7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3" fontId="3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right"/>
    </xf>
    <xf numFmtId="3" fontId="29" fillId="0" borderId="0" xfId="0" applyNumberFormat="1" applyFont="1"/>
    <xf numFmtId="3" fontId="3" fillId="0" borderId="11" xfId="0" applyNumberFormat="1" applyFont="1" applyBorder="1" applyAlignment="1">
      <alignment horizontal="right" wrapText="1"/>
    </xf>
    <xf numFmtId="3" fontId="25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3" fontId="7" fillId="2" borderId="0" xfId="0" applyNumberFormat="1" applyFont="1" applyFill="1" applyAlignment="1">
      <alignment horizontal="center"/>
    </xf>
    <xf numFmtId="3" fontId="9" fillId="2" borderId="7" xfId="0" applyNumberFormat="1" applyFont="1" applyFill="1" applyBorder="1" applyAlignment="1">
      <alignment horizontal="right"/>
    </xf>
    <xf numFmtId="3" fontId="25" fillId="2" borderId="7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3" fontId="25" fillId="2" borderId="0" xfId="0" applyNumberFormat="1" applyFont="1" applyFill="1" applyAlignment="1">
      <alignment horizontal="right"/>
    </xf>
    <xf numFmtId="3" fontId="8" fillId="2" borderId="0" xfId="0" applyNumberFormat="1" applyFont="1" applyFill="1"/>
    <xf numFmtId="3" fontId="3" fillId="2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3" fontId="27" fillId="0" borderId="0" xfId="0" applyNumberFormat="1" applyFont="1" applyAlignment="1">
      <alignment horizontal="right" wrapText="1"/>
    </xf>
    <xf numFmtId="3" fontId="8" fillId="0" borderId="0" xfId="0" applyNumberFormat="1" applyFont="1"/>
    <xf numFmtId="0" fontId="2" fillId="0" borderId="0" xfId="0" applyFont="1" applyAlignment="1">
      <alignment horizontal="right" vertical="center" wrapText="1"/>
    </xf>
    <xf numFmtId="3" fontId="7" fillId="0" borderId="7" xfId="0" applyNumberFormat="1" applyFont="1" applyBorder="1" applyAlignment="1">
      <alignment horizontal="center"/>
    </xf>
    <xf numFmtId="0" fontId="0" fillId="0" borderId="7" xfId="0" applyBorder="1"/>
    <xf numFmtId="3" fontId="29" fillId="0" borderId="7" xfId="0" applyNumberFormat="1" applyFont="1" applyBorder="1"/>
    <xf numFmtId="0" fontId="2" fillId="0" borderId="7" xfId="0" applyFont="1" applyBorder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7" xfId="0" applyFont="1" applyBorder="1"/>
    <xf numFmtId="0" fontId="3" fillId="0" borderId="0" xfId="0" applyFont="1" applyAlignment="1">
      <alignment horizontal="right" wrapText="1"/>
    </xf>
    <xf numFmtId="0" fontId="27" fillId="2" borderId="0" xfId="0" applyFont="1" applyFill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 applyAlignment="1">
      <alignment horizontal="right" vertical="center" wrapText="1"/>
    </xf>
    <xf numFmtId="3" fontId="1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vertical="center"/>
    </xf>
    <xf numFmtId="3" fontId="27" fillId="0" borderId="7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4" fillId="0" borderId="0" xfId="0" applyFont="1"/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25" fillId="0" borderId="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27" fillId="0" borderId="0" xfId="0" applyFont="1" applyAlignment="1">
      <alignment horizontal="right" vertical="center"/>
    </xf>
    <xf numFmtId="3" fontId="31" fillId="0" borderId="0" xfId="0" applyNumberFormat="1" applyFont="1" applyAlignment="1">
      <alignment horizontal="right"/>
    </xf>
    <xf numFmtId="3" fontId="31" fillId="0" borderId="7" xfId="0" applyNumberFormat="1" applyFont="1" applyBorder="1" applyAlignment="1">
      <alignment horizontal="right"/>
    </xf>
    <xf numFmtId="3" fontId="25" fillId="0" borderId="7" xfId="0" applyNumberFormat="1" applyFont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164" fontId="1" fillId="0" borderId="0" xfId="1" applyAlignment="1">
      <alignment horizontal="right"/>
    </xf>
    <xf numFmtId="0" fontId="3" fillId="0" borderId="8" xfId="0" applyFont="1" applyBorder="1"/>
    <xf numFmtId="0" fontId="3" fillId="0" borderId="1" xfId="0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24" fillId="0" borderId="0" xfId="0" applyFont="1"/>
    <xf numFmtId="0" fontId="7" fillId="0" borderId="1" xfId="0" applyFont="1" applyBorder="1" applyAlignment="1">
      <alignment horizontal="right" wrapText="1"/>
    </xf>
    <xf numFmtId="0" fontId="24" fillId="0" borderId="1" xfId="0" applyFont="1" applyBorder="1"/>
    <xf numFmtId="3" fontId="2" fillId="0" borderId="0" xfId="0" applyNumberFormat="1" applyFont="1" applyAlignment="1">
      <alignment horizontal="right"/>
    </xf>
    <xf numFmtId="3" fontId="25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1" applyAlignment="1">
      <alignment horizontal="right" wrapText="1"/>
    </xf>
    <xf numFmtId="3" fontId="21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2">
    <cellStyle name="Normal" xfId="0" builtinId="0"/>
    <cellStyle name="Normal 2" xfId="1" xr:uid="{2C2FD1A6-EA1B-4D7D-BD05-C7644EC27B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ILY%20WORK\SPEND%20PLAN\2020%20SPEND%20PLAN\2020SpendPlan_December31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SpendPlan"/>
      <sheetName val="2019SpendPlan"/>
      <sheetName val="2018SpendPlan"/>
      <sheetName val="2017SpendPlan"/>
      <sheetName val="BackgroundInformation"/>
    </sheetNames>
    <sheetDataSet>
      <sheetData sheetId="0"/>
      <sheetData sheetId="1">
        <row r="24">
          <cell r="W24">
            <v>31333.02</v>
          </cell>
        </row>
        <row r="25">
          <cell r="W25">
            <v>-7415</v>
          </cell>
        </row>
        <row r="26">
          <cell r="W26">
            <v>23286.059999999998</v>
          </cell>
        </row>
        <row r="27">
          <cell r="W27">
            <v>-381.5</v>
          </cell>
        </row>
        <row r="35">
          <cell r="W35">
            <v>79214.75</v>
          </cell>
        </row>
      </sheetData>
      <sheetData sheetId="2">
        <row r="40">
          <cell r="R40">
            <v>14919.56</v>
          </cell>
        </row>
      </sheetData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eidi larson" id="{843AF0BA-F5A7-46F2-83E0-88AF3B3F9C08}" userId="076e1b9b8297676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0-07-03T19:36:07.44" personId="{843AF0BA-F5A7-46F2-83E0-88AF3B3F9C08}" id="{3D27C0A1-0617-46C9-AEBC-ADFC3CE822B1}">
    <text>$10,000 Aaron Brooks portion of Mini Excav purchase</text>
  </threadedComment>
  <threadedComment ref="J4" dT="2020-07-03T19:36:31.55" personId="{843AF0BA-F5A7-46F2-83E0-88AF3B3F9C08}" id="{AB81B899-0AD6-430D-8060-FF78F0D04502}">
    <text>$5,000 is Chris S. portion of mini-excav purchase</text>
  </threadedComment>
  <threadedComment ref="E5" dT="2020-04-08T14:45:15.50" personId="{843AF0BA-F5A7-46F2-83E0-88AF3B3F9C08}" id="{A9E27C76-382E-4A8E-B220-C9DEB98F70ED}" done="1">
    <text>Total does not incl Trans Fee</text>
  </threadedComment>
  <threadedComment ref="F5" dT="2020-04-08T14:45:15.50" personId="{843AF0BA-F5A7-46F2-83E0-88AF3B3F9C08}" id="{2229416A-98A4-46D8-99FD-5FBBB4718609}" done="1">
    <text>Total does not incl Trans Fee</text>
  </threadedComment>
  <threadedComment ref="G5" dT="2020-04-08T14:45:15.50" personId="{843AF0BA-F5A7-46F2-83E0-88AF3B3F9C08}" id="{2854DAA6-36C7-4CB3-83C1-6D491CAB89F9}" done="1">
    <text>Total does not incl Trans Fee</text>
  </threadedComment>
  <threadedComment ref="H5" dT="2020-04-08T14:45:15.50" personId="{843AF0BA-F5A7-46F2-83E0-88AF3B3F9C08}" id="{A12E6131-4BF4-475D-A78F-7331173D04A4}" done="1">
    <text>Total does not incl Trans Fee</text>
  </threadedComment>
  <threadedComment ref="I5" dT="2020-04-08T14:45:15.50" personId="{843AF0BA-F5A7-46F2-83E0-88AF3B3F9C08}" id="{2B5D66B1-C371-46D4-B82F-D91ED687A175}" done="1">
    <text>Total does not incl Trans Fee</text>
  </threadedComment>
  <threadedComment ref="J5" dT="2020-04-08T14:45:15.50" personId="{843AF0BA-F5A7-46F2-83E0-88AF3B3F9C08}" id="{1F45B016-6958-4798-9120-DEBDADC459D8}" done="1">
    <text>Total does not incl Trans Fee</text>
  </threadedComment>
  <threadedComment ref="K5" dT="2020-04-08T14:45:15.50" personId="{843AF0BA-F5A7-46F2-83E0-88AF3B3F9C08}" id="{F9B74D35-2808-4AB9-87D0-687873C9A1EC}" done="1">
    <text>Total does not incl Trans Fee</text>
  </threadedComment>
  <threadedComment ref="L5" dT="2020-04-08T14:45:15.50" personId="{843AF0BA-F5A7-46F2-83E0-88AF3B3F9C08}" id="{6A371566-ACA8-4191-AF0C-6CFE3CC91A51}" done="1">
    <text>Total does not incl Trans Fee</text>
  </threadedComment>
  <threadedComment ref="M5" dT="2020-04-08T14:45:15.50" personId="{843AF0BA-F5A7-46F2-83E0-88AF3B3F9C08}" id="{8B769D9E-6DD9-4DC7-83B7-A33905BD9F90}" done="1">
    <text>Total does not incl Trans Fee</text>
  </threadedComment>
  <threadedComment ref="N5" dT="2020-04-08T14:45:15.50" personId="{843AF0BA-F5A7-46F2-83E0-88AF3B3F9C08}" id="{45BA504D-1BEA-4764-B7C8-541D179FA601}" done="1">
    <text>Total does not incl Trans Fee</text>
  </threadedComment>
  <threadedComment ref="O5" dT="2020-04-08T14:45:15.50" personId="{843AF0BA-F5A7-46F2-83E0-88AF3B3F9C08}" id="{D9E20620-A1DD-41CC-9DC0-AA5C0179673E}" done="1">
    <text>Total does not incl Trans Fee</text>
  </threadedComment>
  <threadedComment ref="P5" dT="2020-04-08T14:45:15.50" personId="{843AF0BA-F5A7-46F2-83E0-88AF3B3F9C08}" id="{C1D93A15-4DFD-49FB-BFE8-9601AFFCEE58}" done="1">
    <text>Total does not incl Trans Fee</text>
  </threadedComment>
  <threadedComment ref="R5" dT="2020-04-08T14:51:22.43" personId="{843AF0BA-F5A7-46F2-83E0-88AF3B3F9C08}" id="{61FE67BD-A359-4FE8-A4C8-52BC1822DA6A}">
    <text>Total does not incl Trans Fee</text>
  </threadedComment>
  <threadedComment ref="S5" dT="2020-04-08T14:51:22.43" personId="{843AF0BA-F5A7-46F2-83E0-88AF3B3F9C08}" id="{AF0A30D8-83C3-48CF-AF00-07CEFD1C8043}">
    <text>Total does not incl Trans Fee</text>
  </threadedComment>
  <threadedComment ref="O11" dT="2020-12-07T18:56:03.06" personId="{843AF0BA-F5A7-46F2-83E0-88AF3B3F9C08}" id="{CE651B7D-AD0E-42D7-A040-C84A7BD77BF6}">
    <text>Postage for packets s/b credit in October. Recorded as expense</text>
  </threadedComment>
  <threadedComment ref="O18" dT="2020-12-07T18:55:03.36" personId="{843AF0BA-F5A7-46F2-83E0-88AF3B3F9C08}" id="{FDB43F35-61AB-4B8D-846E-A0343E63E399}">
    <text>Postage for packets in Oct s/b Surfside Activites.  Recorded as credit not expense</text>
  </threadedComment>
  <threadedComment ref="D25" dT="2020-02-06T19:37:00.34" personId="{843AF0BA-F5A7-46F2-83E0-88AF3B3F9C08}" id="{A8C95FC0-FD49-48AA-9552-5676C1FD22C1}">
    <text>Budget reduced by $15K due to excess in WMR chkg</text>
  </threadedComment>
  <threadedComment ref="E39" dT="2020-02-06T19:36:23.40" personId="{843AF0BA-F5A7-46F2-83E0-88AF3B3F9C08}" id="{807A5419-95D4-4039-AE11-A5A46F5645A1}">
    <text>Long Beach Mitigation Bank</text>
  </threadedComment>
  <threadedComment ref="F39" dT="2020-03-04T18:44:28.79" personId="{843AF0BA-F5A7-46F2-83E0-88AF3B3F9C08}" id="{6A795A7A-98AE-4317-AD30-9E0C9A388CE5}" done="1">
    <text>CARL Variance</text>
  </threadedComment>
  <threadedComment ref="G59" dT="2020-04-07T19:44:09.74" personId="{843AF0BA-F5A7-46F2-83E0-88AF3B3F9C08}" id="{E1582335-972A-436E-A00E-1C3F856665FB}">
    <text>Incl in Ops funds total</text>
  </threadedComment>
  <threadedComment ref="F61" dT="2020-03-04T19:01:05.05" personId="{843AF0BA-F5A7-46F2-83E0-88AF3B3F9C08}" id="{3DC549D7-61A2-47BF-AA1A-0FF952AB9D43}">
    <text>Prepaids incl in Ops bank Total</text>
  </threadedComment>
  <threadedComment ref="G61" dT="2020-03-04T19:01:05.05" personId="{843AF0BA-F5A7-46F2-83E0-88AF3B3F9C08}" id="{87447AC2-DA8B-453C-AE9E-FBAD20197B33}">
    <text>Prepaids incl in Ops bank Total</text>
  </threadedComment>
  <threadedComment ref="H61" dT="2020-03-04T19:01:05.05" personId="{843AF0BA-F5A7-46F2-83E0-88AF3B3F9C08}" id="{2C8F285B-2106-41CE-9929-D6A0615CD591}">
    <text>Prepaids incl in Ops bank Total</text>
  </threadedComment>
  <threadedComment ref="I61" dT="2020-03-04T19:01:05.05" personId="{843AF0BA-F5A7-46F2-83E0-88AF3B3F9C08}" id="{D1FFDC62-0D5C-4ABD-8129-1B78C374CAFC}">
    <text>Prepaids incl in Ops bank Total</text>
  </threadedComment>
  <threadedComment ref="J61" dT="2020-03-04T19:01:05.05" personId="{843AF0BA-F5A7-46F2-83E0-88AF3B3F9C08}" id="{D7BD0A62-2C7C-4A16-A3ED-45D320A7FE7F}">
    <text>Prepaids incl in Ops bank Total</text>
  </threadedComment>
  <threadedComment ref="K61" dT="2020-03-04T19:01:05.05" personId="{843AF0BA-F5A7-46F2-83E0-88AF3B3F9C08}" id="{56257E9C-7E98-406D-8631-A682D4CFA578}">
    <text>Prepaids incl in Ops bank Total</text>
  </threadedComment>
  <threadedComment ref="L61" dT="2020-03-04T19:01:05.05" personId="{843AF0BA-F5A7-46F2-83E0-88AF3B3F9C08}" id="{38E40D49-F224-4A95-A0F3-3ECAF6EBFB06}">
    <text>Prepaids incl in Ops bank Total</text>
  </threadedComment>
  <threadedComment ref="M61" dT="2020-03-04T19:01:05.05" personId="{843AF0BA-F5A7-46F2-83E0-88AF3B3F9C08}" id="{EDC6D47D-7909-4725-A13A-5AA9469941A0}">
    <text>Prepaids incl in Ops bank Total</text>
  </threadedComment>
  <threadedComment ref="N61" dT="2020-03-04T19:01:05.05" personId="{843AF0BA-F5A7-46F2-83E0-88AF3B3F9C08}" id="{27972FA3-AAFF-48A6-B9C2-13D6A72164A9}">
    <text>Prepaids incl in Ops bank Total</text>
  </threadedComment>
  <threadedComment ref="O61" dT="2020-03-04T19:01:05.05" personId="{843AF0BA-F5A7-46F2-83E0-88AF3B3F9C08}" id="{BCCAC937-1DEE-4FD1-A179-8FAD165C945E}">
    <text>Prepaids incl in Ops bank Total</text>
  </threadedComment>
  <threadedComment ref="P61" dT="2020-03-04T19:01:05.05" personId="{843AF0BA-F5A7-46F2-83E0-88AF3B3F9C08}" id="{4008E768-F387-4C50-8A64-48622CF30636}">
    <text>Prepaids incl in Ops bank Total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F1DB7-6273-4246-AEAF-04286863EB14}">
  <dimension ref="A1:Y73"/>
  <sheetViews>
    <sheetView tabSelected="1" workbookViewId="0">
      <selection activeCell="B3" sqref="B3"/>
    </sheetView>
  </sheetViews>
  <sheetFormatPr defaultRowHeight="15" x14ac:dyDescent="0.25"/>
  <cols>
    <col min="1" max="1" width="45.7109375" customWidth="1"/>
    <col min="2" max="2" width="3.5703125" customWidth="1"/>
    <col min="3" max="3" width="12" style="51" customWidth="1"/>
    <col min="4" max="4" width="12.42578125" customWidth="1"/>
    <col min="5" max="6" width="11.28515625" bestFit="1" customWidth="1"/>
    <col min="7" max="7" width="11.28515625" style="52" bestFit="1" customWidth="1"/>
    <col min="8" max="8" width="11.28515625" style="53" bestFit="1" customWidth="1"/>
    <col min="9" max="9" width="11.28515625" style="54" bestFit="1" customWidth="1"/>
    <col min="10" max="10" width="13.140625" style="55" bestFit="1" customWidth="1"/>
    <col min="11" max="11" width="11.28515625" bestFit="1" customWidth="1"/>
    <col min="12" max="12" width="11.28515625" style="56" bestFit="1" customWidth="1"/>
    <col min="13" max="13" width="11.28515625" bestFit="1" customWidth="1"/>
    <col min="14" max="14" width="11.28515625" style="57" bestFit="1" customWidth="1"/>
    <col min="15" max="15" width="11.28515625" bestFit="1" customWidth="1"/>
    <col min="16" max="16" width="11.28515625" style="58" bestFit="1" customWidth="1"/>
    <col min="17" max="17" width="2.140625" customWidth="1"/>
    <col min="18" max="18" width="13.5703125" style="7" customWidth="1"/>
    <col min="19" max="19" width="15.42578125" style="59" customWidth="1"/>
    <col min="20" max="20" width="3.28515625" style="59" customWidth="1"/>
    <col min="21" max="21" width="17.140625" style="60" customWidth="1"/>
    <col min="22" max="22" width="17.5703125" style="10" hidden="1" customWidth="1"/>
    <col min="23" max="23" width="11.140625" style="10" customWidth="1"/>
    <col min="24" max="24" width="10.140625" style="10" customWidth="1"/>
    <col min="25" max="25" width="46" customWidth="1"/>
  </cols>
  <sheetData>
    <row r="1" spans="1:25" ht="15.75" customHeight="1" x14ac:dyDescent="0.25">
      <c r="A1" s="1"/>
      <c r="B1" s="1"/>
      <c r="C1" s="2"/>
      <c r="D1" s="1"/>
      <c r="E1" s="3" t="s">
        <v>0</v>
      </c>
      <c r="F1" s="3" t="s">
        <v>1</v>
      </c>
      <c r="G1" s="3" t="s">
        <v>2</v>
      </c>
      <c r="H1" s="4" t="s">
        <v>3</v>
      </c>
      <c r="I1" s="5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6"/>
      <c r="S1" s="8"/>
      <c r="T1" s="8"/>
      <c r="U1" s="9"/>
    </row>
    <row r="2" spans="1:25" ht="63.75" customHeight="1" x14ac:dyDescent="0.25">
      <c r="A2" s="1"/>
      <c r="B2" s="1"/>
      <c r="C2" s="2" t="s">
        <v>12</v>
      </c>
      <c r="D2" s="11" t="s">
        <v>13</v>
      </c>
      <c r="E2" s="12"/>
      <c r="F2" s="12"/>
      <c r="G2" s="12"/>
      <c r="H2" s="13"/>
      <c r="I2" s="13"/>
      <c r="J2" s="14"/>
      <c r="K2" s="12"/>
      <c r="L2" s="12"/>
      <c r="M2" s="15"/>
      <c r="N2" s="16"/>
      <c r="O2" s="15"/>
      <c r="P2" s="15"/>
      <c r="Q2" s="17"/>
      <c r="R2" s="18" t="s">
        <v>14</v>
      </c>
      <c r="S2" s="19" t="s">
        <v>15</v>
      </c>
      <c r="T2" s="19"/>
      <c r="U2" s="20" t="s">
        <v>16</v>
      </c>
      <c r="V2" s="21" t="s">
        <v>17</v>
      </c>
      <c r="W2" s="22" t="s">
        <v>18</v>
      </c>
      <c r="X2" s="19" t="s">
        <v>19</v>
      </c>
      <c r="Y2" s="23"/>
    </row>
    <row r="3" spans="1:25" ht="18" customHeight="1" x14ac:dyDescent="0.25">
      <c r="A3" s="24" t="s">
        <v>20</v>
      </c>
      <c r="B3" s="1"/>
      <c r="C3" s="2"/>
      <c r="D3" s="25">
        <v>1729799.05</v>
      </c>
      <c r="E3" s="26">
        <v>920210.98</v>
      </c>
      <c r="F3" s="26">
        <v>422906.36</v>
      </c>
      <c r="G3" s="26">
        <v>123740.91</v>
      </c>
      <c r="H3" s="27">
        <v>71035.75</v>
      </c>
      <c r="I3" s="27">
        <v>52703</v>
      </c>
      <c r="J3" s="26">
        <v>38061.5</v>
      </c>
      <c r="K3" s="26">
        <v>18856.38</v>
      </c>
      <c r="L3" s="26">
        <v>20991.49</v>
      </c>
      <c r="M3" s="26">
        <v>18585.919999999998</v>
      </c>
      <c r="N3" s="27">
        <v>7734.39</v>
      </c>
      <c r="O3" s="26">
        <v>7976.45</v>
      </c>
      <c r="P3" s="26">
        <v>1629.69</v>
      </c>
      <c r="Q3" s="28"/>
      <c r="R3" s="29">
        <f>SUM(E3:P3)</f>
        <v>1704432.8199999994</v>
      </c>
      <c r="S3" s="30"/>
      <c r="T3" s="30"/>
      <c r="U3" s="20" t="s">
        <v>21</v>
      </c>
      <c r="V3" s="21"/>
      <c r="W3" s="31">
        <v>0.98499999999999999</v>
      </c>
      <c r="X3" s="32">
        <v>0.97899999999999998</v>
      </c>
      <c r="Y3" s="23"/>
    </row>
    <row r="4" spans="1:25" ht="18" customHeight="1" x14ac:dyDescent="0.25">
      <c r="A4" s="24" t="s">
        <v>22</v>
      </c>
      <c r="B4" s="1"/>
      <c r="C4" s="2"/>
      <c r="D4" s="25">
        <v>130000</v>
      </c>
      <c r="E4" s="33">
        <f>14697.23-3000</f>
        <v>11697.23</v>
      </c>
      <c r="F4" s="33">
        <f>16043.83-1600</f>
        <v>14443.83</v>
      </c>
      <c r="G4" s="33">
        <f>9529.15-2200</f>
        <v>7329.15</v>
      </c>
      <c r="H4" s="34">
        <f>18493.51-2000</f>
        <v>16493.509999999998</v>
      </c>
      <c r="I4" s="34">
        <f>12380.34-3600+10000</f>
        <v>18780.34</v>
      </c>
      <c r="J4" s="33">
        <f>14282.4-4000+5000</f>
        <v>15282.4</v>
      </c>
      <c r="K4" s="33">
        <f>26187.13-5000</f>
        <v>21187.13</v>
      </c>
      <c r="L4" s="33">
        <f>15217.13-5400</f>
        <v>9817.1299999999992</v>
      </c>
      <c r="M4" s="33">
        <f>39178.88-6400</f>
        <v>32778.879999999997</v>
      </c>
      <c r="N4" s="34">
        <f>49341.44-5600</f>
        <v>43741.440000000002</v>
      </c>
      <c r="O4" s="33">
        <f>27838.71-3700</f>
        <v>24138.71</v>
      </c>
      <c r="P4" s="33">
        <f>13390.08-2200</f>
        <v>11190.08</v>
      </c>
      <c r="Q4" s="28"/>
      <c r="R4" s="35">
        <f t="shared" ref="R4:R6" si="0">SUM(E4:P4)</f>
        <v>226879.83</v>
      </c>
      <c r="S4" s="36"/>
      <c r="T4" s="30"/>
      <c r="U4" s="20" t="s">
        <v>21</v>
      </c>
      <c r="V4" s="21"/>
      <c r="W4" s="31">
        <v>1.75</v>
      </c>
      <c r="X4" s="32">
        <v>1.26</v>
      </c>
      <c r="Y4" s="23"/>
    </row>
    <row r="5" spans="1:25" ht="18" customHeight="1" x14ac:dyDescent="0.25">
      <c r="A5" s="37" t="s">
        <v>23</v>
      </c>
      <c r="B5" s="1"/>
      <c r="C5" s="2"/>
      <c r="D5" s="38"/>
      <c r="E5" s="26">
        <f t="shared" ref="E5:P5" si="1">SUM(E3:E4)</f>
        <v>931908.21</v>
      </c>
      <c r="F5" s="26">
        <f t="shared" si="1"/>
        <v>437350.19</v>
      </c>
      <c r="G5" s="26">
        <f t="shared" si="1"/>
        <v>131070.06</v>
      </c>
      <c r="H5" s="26">
        <f t="shared" si="1"/>
        <v>87529.26</v>
      </c>
      <c r="I5" s="26">
        <f t="shared" si="1"/>
        <v>71483.34</v>
      </c>
      <c r="J5" s="26">
        <f t="shared" si="1"/>
        <v>53343.9</v>
      </c>
      <c r="K5" s="26">
        <f t="shared" si="1"/>
        <v>40043.51</v>
      </c>
      <c r="L5" s="26">
        <f t="shared" si="1"/>
        <v>30808.620000000003</v>
      </c>
      <c r="M5" s="26">
        <f t="shared" si="1"/>
        <v>51364.799999999996</v>
      </c>
      <c r="N5" s="26">
        <f t="shared" si="1"/>
        <v>51475.83</v>
      </c>
      <c r="O5" s="26">
        <f t="shared" si="1"/>
        <v>32115.16</v>
      </c>
      <c r="P5" s="26">
        <f t="shared" si="1"/>
        <v>12819.77</v>
      </c>
      <c r="Q5" s="17"/>
      <c r="R5" s="39">
        <f>SUM(R3:R4)</f>
        <v>1931312.6499999994</v>
      </c>
      <c r="S5" s="40">
        <f>SUM(S3:S4)</f>
        <v>0</v>
      </c>
      <c r="T5" s="40"/>
      <c r="U5" s="21"/>
      <c r="V5" s="21"/>
      <c r="W5" s="31"/>
      <c r="X5" s="41"/>
      <c r="Y5" s="23"/>
    </row>
    <row r="6" spans="1:25" ht="18" customHeight="1" thickBot="1" x14ac:dyDescent="0.3">
      <c r="A6" s="42" t="s">
        <v>24</v>
      </c>
      <c r="B6" s="1"/>
      <c r="C6" s="2"/>
      <c r="D6" s="43">
        <v>35000</v>
      </c>
      <c r="E6" s="44">
        <v>3000</v>
      </c>
      <c r="F6" s="44">
        <v>1600</v>
      </c>
      <c r="G6" s="45">
        <v>2200</v>
      </c>
      <c r="H6" s="46">
        <v>2000</v>
      </c>
      <c r="I6" s="46">
        <v>3600</v>
      </c>
      <c r="J6" s="44">
        <v>4000</v>
      </c>
      <c r="K6" s="44">
        <v>5000</v>
      </c>
      <c r="L6" s="44">
        <v>5400</v>
      </c>
      <c r="M6" s="45">
        <v>6400</v>
      </c>
      <c r="N6" s="47">
        <v>5600</v>
      </c>
      <c r="O6" s="47">
        <v>3700</v>
      </c>
      <c r="P6" s="45">
        <v>2200</v>
      </c>
      <c r="Q6" s="48"/>
      <c r="R6" s="35">
        <f t="shared" si="0"/>
        <v>44700</v>
      </c>
      <c r="S6" s="30"/>
      <c r="T6" s="49"/>
      <c r="U6" s="20" t="s">
        <v>21</v>
      </c>
      <c r="W6" s="50">
        <f>R6/D6</f>
        <v>1.2771428571428571</v>
      </c>
      <c r="X6" s="41"/>
      <c r="Y6" s="23"/>
    </row>
    <row r="7" spans="1:25" ht="18" customHeight="1" thickTop="1" x14ac:dyDescent="0.25">
      <c r="W7" s="61"/>
      <c r="X7" s="41"/>
      <c r="Y7" s="23"/>
    </row>
    <row r="8" spans="1:25" ht="18" customHeight="1" x14ac:dyDescent="0.25">
      <c r="A8" s="24"/>
      <c r="B8" s="1"/>
      <c r="C8" s="2"/>
      <c r="D8" s="38"/>
      <c r="E8" s="15"/>
      <c r="F8" s="15"/>
      <c r="G8" s="15"/>
      <c r="H8" s="62"/>
      <c r="I8" s="63"/>
      <c r="J8" s="64"/>
      <c r="K8" s="15"/>
      <c r="L8" s="12"/>
      <c r="M8" s="15"/>
      <c r="N8" s="16"/>
      <c r="O8" s="15"/>
      <c r="P8" s="15"/>
      <c r="Q8" s="17"/>
      <c r="R8" s="65"/>
      <c r="S8" s="19"/>
      <c r="T8" s="19"/>
      <c r="U8" s="66"/>
      <c r="V8" s="21"/>
      <c r="W8" s="22"/>
      <c r="X8" s="41"/>
      <c r="Y8" s="23"/>
    </row>
    <row r="9" spans="1:25" x14ac:dyDescent="0.25">
      <c r="A9" s="67" t="s">
        <v>25</v>
      </c>
      <c r="B9" s="1"/>
      <c r="C9" s="2"/>
      <c r="D9" s="1"/>
      <c r="E9" s="15"/>
      <c r="F9" s="15"/>
      <c r="G9" s="15"/>
      <c r="H9" s="62"/>
      <c r="I9" s="63"/>
      <c r="J9" s="64"/>
      <c r="K9" s="15"/>
      <c r="L9" s="12"/>
      <c r="M9" s="15"/>
      <c r="N9" s="16"/>
      <c r="O9" s="15"/>
      <c r="P9" s="15"/>
      <c r="Q9" s="17"/>
      <c r="S9" s="8"/>
      <c r="T9" s="8"/>
      <c r="U9" s="68"/>
      <c r="V9" s="69"/>
      <c r="W9" s="61"/>
    </row>
    <row r="10" spans="1:25" ht="15.75" customHeight="1" x14ac:dyDescent="0.25">
      <c r="A10" s="67"/>
      <c r="B10" s="1"/>
      <c r="C10" s="2"/>
      <c r="D10" s="1"/>
      <c r="E10" s="210" t="s">
        <v>26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17"/>
      <c r="S10" s="8"/>
      <c r="T10" s="8"/>
      <c r="U10" s="68"/>
      <c r="V10" s="69"/>
      <c r="W10" s="61"/>
    </row>
    <row r="11" spans="1:25" ht="18" customHeight="1" x14ac:dyDescent="0.25">
      <c r="A11" s="70" t="s">
        <v>27</v>
      </c>
      <c r="B11" s="1"/>
      <c r="C11" s="25">
        <v>-27079.88</v>
      </c>
      <c r="D11" s="71">
        <v>305713</v>
      </c>
      <c r="E11" s="72">
        <v>31349.439999999999</v>
      </c>
      <c r="F11" s="73">
        <v>24156.91</v>
      </c>
      <c r="G11" s="73">
        <v>27531.61</v>
      </c>
      <c r="H11" s="73">
        <v>28657.59</v>
      </c>
      <c r="I11" s="73">
        <v>22703.89</v>
      </c>
      <c r="J11" s="73">
        <v>26957.9</v>
      </c>
      <c r="K11" s="73">
        <v>24800.29</v>
      </c>
      <c r="L11" s="73">
        <v>57211.68</v>
      </c>
      <c r="M11" s="73">
        <v>24773.48</v>
      </c>
      <c r="N11" s="73">
        <v>25514.31</v>
      </c>
      <c r="O11" s="74">
        <v>16769.02</v>
      </c>
      <c r="P11" s="75">
        <v>31127.22</v>
      </c>
      <c r="Q11" s="17"/>
      <c r="R11" s="29">
        <f>SUM(E11:P11)</f>
        <v>341553.33999999997</v>
      </c>
      <c r="S11" s="76">
        <f>SUM(D11-R11)</f>
        <v>-35840.339999999967</v>
      </c>
      <c r="T11" s="76"/>
      <c r="U11" s="77"/>
      <c r="W11" s="31">
        <f t="shared" ref="W11:W19" si="2">R11/D11</f>
        <v>1.1172352500547897</v>
      </c>
      <c r="X11" s="78"/>
      <c r="Y11" s="79"/>
    </row>
    <row r="12" spans="1:25" ht="18" customHeight="1" x14ac:dyDescent="0.25">
      <c r="A12" s="80" t="s">
        <v>28</v>
      </c>
      <c r="B12" s="1"/>
      <c r="C12" s="25">
        <v>5456.26</v>
      </c>
      <c r="D12" s="71">
        <v>216080</v>
      </c>
      <c r="E12" s="81">
        <v>23127.51</v>
      </c>
      <c r="F12" s="27">
        <v>56242.7</v>
      </c>
      <c r="G12" s="27">
        <v>3071.47</v>
      </c>
      <c r="H12" s="27">
        <v>10277.5</v>
      </c>
      <c r="I12" s="27">
        <v>16799.59</v>
      </c>
      <c r="J12" s="27">
        <v>42802.39</v>
      </c>
      <c r="K12" s="27">
        <v>40025.980000000003</v>
      </c>
      <c r="L12" s="27">
        <v>3732.16</v>
      </c>
      <c r="M12" s="27">
        <v>8563.4599999999991</v>
      </c>
      <c r="N12" s="27">
        <v>8771.6200000000008</v>
      </c>
      <c r="O12" s="26">
        <v>5503.13</v>
      </c>
      <c r="P12" s="82">
        <v>6181.39</v>
      </c>
      <c r="Q12" s="17"/>
      <c r="R12" s="29">
        <f t="shared" ref="R12:R19" si="3">SUM(E12:P12)</f>
        <v>225098.9</v>
      </c>
      <c r="S12" s="76">
        <f t="shared" ref="S12:S18" si="4">SUM(D12-R12)</f>
        <v>-9018.8999999999942</v>
      </c>
      <c r="T12" s="76"/>
      <c r="U12" s="77"/>
      <c r="W12" s="31">
        <f t="shared" si="2"/>
        <v>1.0417387078859681</v>
      </c>
      <c r="X12" s="78"/>
      <c r="Y12" s="79"/>
    </row>
    <row r="13" spans="1:25" ht="18" customHeight="1" x14ac:dyDescent="0.25">
      <c r="A13" s="70" t="s">
        <v>29</v>
      </c>
      <c r="B13" s="1"/>
      <c r="C13" s="25">
        <v>14571.28</v>
      </c>
      <c r="D13" s="71">
        <v>663616</v>
      </c>
      <c r="E13" s="83">
        <v>52600.75</v>
      </c>
      <c r="F13" s="84">
        <v>47267.83</v>
      </c>
      <c r="G13" s="84">
        <v>40207.519999999997</v>
      </c>
      <c r="H13" s="84">
        <v>53327.43</v>
      </c>
      <c r="I13" s="84">
        <v>35910.25</v>
      </c>
      <c r="J13" s="84">
        <v>46668.04</v>
      </c>
      <c r="K13" s="84">
        <v>48023.5</v>
      </c>
      <c r="L13" s="84">
        <v>43806.5</v>
      </c>
      <c r="M13" s="84">
        <v>55525.11</v>
      </c>
      <c r="N13" s="84">
        <v>45233.18</v>
      </c>
      <c r="O13" s="85">
        <v>43515.54</v>
      </c>
      <c r="P13" s="86">
        <v>66291.66</v>
      </c>
      <c r="Q13" s="17"/>
      <c r="R13" s="29">
        <f t="shared" si="3"/>
        <v>578377.30999999994</v>
      </c>
      <c r="S13" s="76">
        <f t="shared" si="4"/>
        <v>85238.690000000061</v>
      </c>
      <c r="T13" s="76"/>
      <c r="U13" s="77"/>
      <c r="W13" s="31">
        <f t="shared" si="2"/>
        <v>0.87155419700549708</v>
      </c>
      <c r="X13" s="78"/>
      <c r="Y13" s="79"/>
    </row>
    <row r="14" spans="1:25" ht="18" customHeight="1" x14ac:dyDescent="0.25">
      <c r="A14" s="80" t="s">
        <v>30</v>
      </c>
      <c r="B14" s="1"/>
      <c r="C14" s="25">
        <v>-1722.38</v>
      </c>
      <c r="D14" s="71">
        <v>110086</v>
      </c>
      <c r="E14" s="81">
        <v>4090.38</v>
      </c>
      <c r="F14" s="27">
        <v>3318.99</v>
      </c>
      <c r="G14" s="27">
        <v>2378.16</v>
      </c>
      <c r="H14" s="27">
        <v>26693.26</v>
      </c>
      <c r="I14" s="27">
        <v>6303.78</v>
      </c>
      <c r="J14" s="27">
        <v>4929.08</v>
      </c>
      <c r="K14" s="27">
        <v>5749.4</v>
      </c>
      <c r="L14" s="27">
        <v>7810.89</v>
      </c>
      <c r="M14" s="27">
        <v>5086.03</v>
      </c>
      <c r="N14" s="27">
        <v>19948.849999999999</v>
      </c>
      <c r="O14" s="26">
        <v>2466.91</v>
      </c>
      <c r="P14" s="82">
        <v>3500.67</v>
      </c>
      <c r="Q14" s="17"/>
      <c r="R14" s="29">
        <f t="shared" si="3"/>
        <v>92276.400000000009</v>
      </c>
      <c r="S14" s="76">
        <f t="shared" si="4"/>
        <v>17809.599999999991</v>
      </c>
      <c r="T14" s="76"/>
      <c r="U14" s="77"/>
      <c r="W14" s="31">
        <f t="shared" si="2"/>
        <v>0.83822102719691882</v>
      </c>
      <c r="X14" s="78"/>
      <c r="Y14" s="79"/>
    </row>
    <row r="15" spans="1:25" ht="18" customHeight="1" x14ac:dyDescent="0.25">
      <c r="A15" s="70" t="s">
        <v>31</v>
      </c>
      <c r="B15" s="1"/>
      <c r="C15" s="25">
        <v>1712.69</v>
      </c>
      <c r="D15" s="71">
        <v>75344</v>
      </c>
      <c r="E15" s="83">
        <v>8630.0300000000007</v>
      </c>
      <c r="F15" s="84">
        <v>292.17</v>
      </c>
      <c r="G15" s="84">
        <v>62.19</v>
      </c>
      <c r="H15" s="84">
        <v>259.52999999999997</v>
      </c>
      <c r="I15" s="84">
        <v>0</v>
      </c>
      <c r="J15" s="84">
        <v>124.29</v>
      </c>
      <c r="K15" s="84">
        <v>-236.61</v>
      </c>
      <c r="L15" s="84">
        <v>22.74</v>
      </c>
      <c r="M15" s="84">
        <v>17.28</v>
      </c>
      <c r="N15" s="84"/>
      <c r="O15" s="85"/>
      <c r="P15" s="86"/>
      <c r="Q15" s="17"/>
      <c r="R15" s="29">
        <f t="shared" si="3"/>
        <v>9171.6200000000026</v>
      </c>
      <c r="S15" s="76">
        <f t="shared" si="4"/>
        <v>66172.38</v>
      </c>
      <c r="T15" s="76"/>
      <c r="U15" s="77"/>
      <c r="W15" s="31">
        <f t="shared" si="2"/>
        <v>0.12172993204502021</v>
      </c>
      <c r="X15" s="78"/>
      <c r="Y15" s="79"/>
    </row>
    <row r="16" spans="1:25" ht="18" customHeight="1" x14ac:dyDescent="0.25">
      <c r="A16" s="80" t="s">
        <v>32</v>
      </c>
      <c r="B16" s="1"/>
      <c r="C16" s="25">
        <v>-9673.41</v>
      </c>
      <c r="D16" s="71">
        <v>120243</v>
      </c>
      <c r="E16" s="81">
        <v>9942.58</v>
      </c>
      <c r="F16" s="27">
        <v>9501.99</v>
      </c>
      <c r="G16" s="27">
        <v>9575.8700000000008</v>
      </c>
      <c r="H16" s="27">
        <v>10549.79</v>
      </c>
      <c r="I16" s="27">
        <v>10823.06</v>
      </c>
      <c r="J16" s="27">
        <v>9767.81</v>
      </c>
      <c r="K16" s="27">
        <v>14449.13</v>
      </c>
      <c r="L16" s="27">
        <v>13985.24</v>
      </c>
      <c r="M16" s="27">
        <v>15096.86</v>
      </c>
      <c r="N16" s="27">
        <v>13182.83</v>
      </c>
      <c r="O16" s="26">
        <v>11216.16</v>
      </c>
      <c r="P16" s="82">
        <v>10651.82</v>
      </c>
      <c r="Q16" s="17"/>
      <c r="R16" s="29">
        <f t="shared" si="3"/>
        <v>138743.14000000001</v>
      </c>
      <c r="S16" s="76">
        <f t="shared" si="4"/>
        <v>-18500.140000000014</v>
      </c>
      <c r="T16" s="76"/>
      <c r="U16" s="77"/>
      <c r="W16" s="31">
        <f t="shared" si="2"/>
        <v>1.1538562743777185</v>
      </c>
      <c r="X16" s="78"/>
      <c r="Y16" s="79"/>
    </row>
    <row r="17" spans="1:25" ht="18" customHeight="1" x14ac:dyDescent="0.25">
      <c r="A17" s="70" t="s">
        <v>33</v>
      </c>
      <c r="B17" s="1"/>
      <c r="C17" s="25">
        <v>4810.28</v>
      </c>
      <c r="D17" s="71">
        <v>9500</v>
      </c>
      <c r="E17" s="83">
        <v>924.91</v>
      </c>
      <c r="F17" s="84">
        <v>1056.3399999999999</v>
      </c>
      <c r="G17" s="84">
        <v>1144.7</v>
      </c>
      <c r="H17" s="84">
        <v>744.29</v>
      </c>
      <c r="I17" s="84">
        <v>508.77</v>
      </c>
      <c r="J17" s="84">
        <v>526.91</v>
      </c>
      <c r="K17" s="84">
        <v>1290.0899999999999</v>
      </c>
      <c r="L17" s="84">
        <v>176.36</v>
      </c>
      <c r="M17" s="84">
        <v>165.15</v>
      </c>
      <c r="N17" s="84">
        <v>450.63</v>
      </c>
      <c r="O17" s="85">
        <v>1391.44</v>
      </c>
      <c r="P17" s="86">
        <v>857.97</v>
      </c>
      <c r="Q17" s="17"/>
      <c r="R17" s="29">
        <f t="shared" si="3"/>
        <v>9237.56</v>
      </c>
      <c r="S17" s="76">
        <f t="shared" si="4"/>
        <v>262.44000000000051</v>
      </c>
      <c r="T17" s="76"/>
      <c r="U17" s="77"/>
      <c r="W17" s="31">
        <f t="shared" si="2"/>
        <v>0.97237473684210518</v>
      </c>
      <c r="X17" s="78"/>
      <c r="Y17" s="79"/>
    </row>
    <row r="18" spans="1:25" ht="18" customHeight="1" x14ac:dyDescent="0.25">
      <c r="A18" s="80" t="s">
        <v>34</v>
      </c>
      <c r="B18" s="1"/>
      <c r="C18" s="87">
        <v>1416.44</v>
      </c>
      <c r="D18" s="88">
        <v>11200</v>
      </c>
      <c r="E18" s="89">
        <v>0</v>
      </c>
      <c r="F18" s="34">
        <v>0</v>
      </c>
      <c r="G18" s="34">
        <v>0</v>
      </c>
      <c r="H18" s="34">
        <v>0</v>
      </c>
      <c r="I18" s="34">
        <v>44</v>
      </c>
      <c r="J18" s="34">
        <v>0</v>
      </c>
      <c r="K18" s="34">
        <v>0</v>
      </c>
      <c r="L18" s="34">
        <v>0</v>
      </c>
      <c r="M18" s="34"/>
      <c r="N18" s="34">
        <f>1773.86-2030</f>
        <v>-256.1400000000001</v>
      </c>
      <c r="O18" s="33">
        <v>4060</v>
      </c>
      <c r="P18" s="90">
        <v>1590.25</v>
      </c>
      <c r="Q18" s="17"/>
      <c r="R18" s="35">
        <f t="shared" si="3"/>
        <v>5438.11</v>
      </c>
      <c r="S18" s="91">
        <f t="shared" si="4"/>
        <v>5761.89</v>
      </c>
      <c r="T18" s="91"/>
      <c r="U18" s="92"/>
      <c r="W18" s="31">
        <f t="shared" si="2"/>
        <v>0.48554553571428566</v>
      </c>
      <c r="X18" s="78"/>
      <c r="Y18" s="79"/>
    </row>
    <row r="19" spans="1:25" ht="18" customHeight="1" x14ac:dyDescent="0.25">
      <c r="A19" s="93" t="s">
        <v>23</v>
      </c>
      <c r="B19" s="1"/>
      <c r="C19" s="71">
        <f t="shared" ref="C19:P19" si="5">SUM(C11:C18)</f>
        <v>-10508.720000000003</v>
      </c>
      <c r="D19" s="71">
        <f t="shared" si="5"/>
        <v>1511782</v>
      </c>
      <c r="E19" s="27">
        <f t="shared" si="5"/>
        <v>130665.60000000001</v>
      </c>
      <c r="F19" s="27">
        <f t="shared" si="5"/>
        <v>141836.93</v>
      </c>
      <c r="G19" s="27">
        <f t="shared" si="5"/>
        <v>83971.520000000004</v>
      </c>
      <c r="H19" s="27">
        <f t="shared" si="5"/>
        <v>130509.38999999997</v>
      </c>
      <c r="I19" s="27">
        <f t="shared" si="5"/>
        <v>93093.34</v>
      </c>
      <c r="J19" s="27">
        <f t="shared" si="5"/>
        <v>131776.42000000001</v>
      </c>
      <c r="K19" s="27">
        <f t="shared" si="5"/>
        <v>134101.78</v>
      </c>
      <c r="L19" s="27">
        <f t="shared" si="5"/>
        <v>126745.57</v>
      </c>
      <c r="M19" s="27">
        <f t="shared" si="5"/>
        <v>109227.37</v>
      </c>
      <c r="N19" s="27">
        <f t="shared" si="5"/>
        <v>112845.28</v>
      </c>
      <c r="O19" s="27">
        <f t="shared" si="5"/>
        <v>84922.200000000012</v>
      </c>
      <c r="P19" s="27">
        <f t="shared" si="5"/>
        <v>120200.98000000001</v>
      </c>
      <c r="Q19" s="17"/>
      <c r="R19" s="29">
        <f t="shared" si="3"/>
        <v>1399896.38</v>
      </c>
      <c r="S19" s="76">
        <f>SUM(S11:S18)</f>
        <v>111885.62000000008</v>
      </c>
      <c r="T19" s="76"/>
      <c r="U19" s="76">
        <f>SUM(U11:U18)</f>
        <v>0</v>
      </c>
      <c r="V19" s="94"/>
      <c r="W19" s="31">
        <f t="shared" si="2"/>
        <v>0.92599090345036517</v>
      </c>
      <c r="Y19" s="95"/>
    </row>
    <row r="20" spans="1:25" ht="15.75" thickBot="1" x14ac:dyDescent="0.3">
      <c r="A20" s="80" t="s">
        <v>35</v>
      </c>
      <c r="B20" s="1"/>
      <c r="C20" s="2"/>
      <c r="D20" s="96">
        <v>-130000</v>
      </c>
      <c r="E20" s="97"/>
      <c r="F20" s="97"/>
      <c r="G20" s="97"/>
      <c r="H20" s="62"/>
      <c r="I20" s="63"/>
      <c r="J20" s="98"/>
      <c r="K20" s="97"/>
      <c r="L20" s="99"/>
      <c r="M20" s="100"/>
      <c r="N20" s="16"/>
      <c r="O20" s="15"/>
      <c r="P20" s="97"/>
      <c r="Q20" s="17"/>
      <c r="R20" s="101"/>
      <c r="S20" s="96">
        <v>-130000</v>
      </c>
      <c r="T20" s="71"/>
      <c r="U20" s="96"/>
      <c r="W20" s="57"/>
    </row>
    <row r="21" spans="1:25" ht="15.75" thickTop="1" x14ac:dyDescent="0.25">
      <c r="A21" s="1"/>
      <c r="B21" s="1"/>
      <c r="C21" s="2"/>
      <c r="D21" s="71">
        <f>SUM(D19:D20)</f>
        <v>1381782</v>
      </c>
      <c r="E21" s="97"/>
      <c r="F21" s="97"/>
      <c r="G21" s="97"/>
      <c r="H21" s="62"/>
      <c r="I21" s="63"/>
      <c r="J21" s="98"/>
      <c r="K21" s="97"/>
      <c r="L21" s="99"/>
      <c r="M21" s="97"/>
      <c r="N21" s="16"/>
      <c r="O21" s="15"/>
      <c r="P21" s="97"/>
      <c r="Q21" s="17"/>
      <c r="R21" s="101"/>
      <c r="S21" s="71">
        <f>SUM(S19:S20)</f>
        <v>-18114.379999999917</v>
      </c>
      <c r="T21" s="71"/>
      <c r="U21" s="71"/>
      <c r="W21" s="102"/>
    </row>
    <row r="22" spans="1:25" ht="12" customHeight="1" x14ac:dyDescent="0.25">
      <c r="A22" s="103" t="s">
        <v>36</v>
      </c>
      <c r="B22" s="1"/>
      <c r="C22" s="2"/>
      <c r="D22" s="104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17"/>
      <c r="R22" s="101"/>
      <c r="S22" s="8"/>
      <c r="T22" s="8"/>
      <c r="U22" s="9"/>
      <c r="W22" s="102"/>
    </row>
    <row r="23" spans="1:25" x14ac:dyDescent="0.25">
      <c r="A23" s="105" t="s">
        <v>37</v>
      </c>
      <c r="B23" s="106"/>
      <c r="C23" s="107">
        <v>-25095.7</v>
      </c>
      <c r="D23" s="108">
        <v>72334</v>
      </c>
      <c r="E23" s="84">
        <v>2219.35</v>
      </c>
      <c r="F23" s="84">
        <v>0</v>
      </c>
      <c r="G23" s="84">
        <v>0</v>
      </c>
      <c r="H23" s="84">
        <v>0</v>
      </c>
      <c r="I23" s="84">
        <v>0</v>
      </c>
      <c r="J23" s="84">
        <v>6478.33</v>
      </c>
      <c r="K23" s="84">
        <v>7212.93</v>
      </c>
      <c r="L23" s="84">
        <v>6589.29</v>
      </c>
      <c r="M23" s="84">
        <v>3610.19</v>
      </c>
      <c r="N23" s="84">
        <v>6026.5</v>
      </c>
      <c r="O23" s="85">
        <v>6944.93</v>
      </c>
      <c r="P23" s="86">
        <v>4615.82</v>
      </c>
      <c r="Q23" s="109"/>
      <c r="R23" s="29">
        <f>SUM(E23:O23)</f>
        <v>39081.520000000004</v>
      </c>
      <c r="S23" s="76">
        <f>D23-R23</f>
        <v>33252.479999999996</v>
      </c>
      <c r="T23" s="76"/>
      <c r="U23" s="110"/>
      <c r="V23" s="78"/>
      <c r="W23" s="111">
        <f t="shared" ref="W23" si="6">R23/D23</f>
        <v>0.54029253186606585</v>
      </c>
      <c r="X23" s="78"/>
      <c r="Y23" s="79"/>
    </row>
    <row r="24" spans="1:25" x14ac:dyDescent="0.25">
      <c r="A24" s="105" t="s">
        <v>38</v>
      </c>
      <c r="B24" s="106"/>
      <c r="C24" s="112">
        <v>-9007.6</v>
      </c>
      <c r="D24" s="113">
        <v>91000</v>
      </c>
      <c r="E24" s="83">
        <v>2368.62</v>
      </c>
      <c r="F24" s="84">
        <v>459.43</v>
      </c>
      <c r="G24" s="84">
        <v>47474.01</v>
      </c>
      <c r="H24" s="84">
        <v>65673.960000000006</v>
      </c>
      <c r="I24" s="84">
        <v>1334.11</v>
      </c>
      <c r="J24" s="84">
        <v>6805.86</v>
      </c>
      <c r="K24" s="84">
        <v>3213.12</v>
      </c>
      <c r="L24" s="84">
        <v>4169.63</v>
      </c>
      <c r="M24" s="84">
        <v>13308.88</v>
      </c>
      <c r="N24" s="84">
        <v>2436.1799999999998</v>
      </c>
      <c r="O24" s="85">
        <v>3078.88</v>
      </c>
      <c r="P24" s="86">
        <v>7166.28</v>
      </c>
      <c r="Q24" s="109"/>
      <c r="R24" s="29">
        <f>SUM(E24:O24)</f>
        <v>150322.68000000002</v>
      </c>
      <c r="S24" s="91">
        <f>D24-R24</f>
        <v>-59322.680000000022</v>
      </c>
      <c r="T24" s="76"/>
      <c r="U24" s="110"/>
      <c r="V24" s="78"/>
      <c r="W24" s="111">
        <f>R24/D24</f>
        <v>1.6518975824175826</v>
      </c>
      <c r="X24" s="78"/>
      <c r="Y24" s="79"/>
    </row>
    <row r="25" spans="1:25" x14ac:dyDescent="0.25">
      <c r="A25" s="114" t="s">
        <v>39</v>
      </c>
      <c r="B25" s="106"/>
      <c r="C25" s="115">
        <f>SUM(C23:C24)</f>
        <v>-34103.300000000003</v>
      </c>
      <c r="D25" s="116">
        <f>SUM(D23:D24)</f>
        <v>163334</v>
      </c>
      <c r="E25" s="83"/>
      <c r="F25" s="84"/>
      <c r="G25" s="84"/>
      <c r="H25" s="117"/>
      <c r="I25" s="84"/>
      <c r="J25" s="84"/>
      <c r="K25" s="84"/>
      <c r="L25" s="117"/>
      <c r="M25" s="118"/>
      <c r="N25" s="84"/>
      <c r="O25" s="119"/>
      <c r="P25" s="120"/>
      <c r="Q25" s="109"/>
      <c r="R25" s="29">
        <f t="shared" ref="R25" si="7">SUM(E25:J25)</f>
        <v>0</v>
      </c>
      <c r="S25" s="76">
        <f>SUM(S23:S24)</f>
        <v>-26070.200000000026</v>
      </c>
      <c r="T25" s="76"/>
      <c r="U25" s="110"/>
      <c r="V25" s="78"/>
      <c r="W25" s="121"/>
      <c r="X25" s="78"/>
      <c r="Y25" s="122"/>
    </row>
    <row r="26" spans="1:25" ht="15.75" thickBot="1" x14ac:dyDescent="0.3">
      <c r="A26" s="123"/>
      <c r="B26" s="106"/>
      <c r="C26" s="115"/>
      <c r="D26" s="124">
        <v>-15000</v>
      </c>
      <c r="E26" s="83"/>
      <c r="F26" s="84"/>
      <c r="G26" s="84"/>
      <c r="H26" s="117"/>
      <c r="I26" s="84"/>
      <c r="J26" s="84"/>
      <c r="K26" s="84"/>
      <c r="L26" s="117"/>
      <c r="M26" s="118"/>
      <c r="N26" s="84"/>
      <c r="O26" s="119"/>
      <c r="P26" s="120"/>
      <c r="Q26" s="109"/>
      <c r="R26" s="29">
        <f>SUM(E26:L26)</f>
        <v>0</v>
      </c>
      <c r="S26" s="124">
        <v>-15000</v>
      </c>
      <c r="T26" s="116"/>
      <c r="U26" s="110"/>
      <c r="V26" s="78"/>
      <c r="W26" s="121"/>
      <c r="X26" s="78"/>
      <c r="Y26" s="122"/>
    </row>
    <row r="27" spans="1:25" ht="15.75" thickTop="1" x14ac:dyDescent="0.25">
      <c r="A27" s="125" t="s">
        <v>40</v>
      </c>
      <c r="B27" s="106"/>
      <c r="C27" s="126"/>
      <c r="D27" s="116">
        <f>SUM(D25:D26)</f>
        <v>148334</v>
      </c>
      <c r="E27" s="83"/>
      <c r="F27" s="84"/>
      <c r="G27" s="84"/>
      <c r="H27" s="117"/>
      <c r="I27" s="84"/>
      <c r="J27" s="84"/>
      <c r="K27" s="84"/>
      <c r="L27" s="117"/>
      <c r="M27" s="118"/>
      <c r="N27" s="84"/>
      <c r="O27" s="119"/>
      <c r="P27" s="120"/>
      <c r="Q27" s="109"/>
      <c r="R27" s="127"/>
      <c r="S27" s="76">
        <f>SUM(S25:S26)</f>
        <v>-41070.200000000026</v>
      </c>
      <c r="T27" s="76"/>
      <c r="U27" s="110"/>
      <c r="V27" s="78"/>
      <c r="W27" s="121"/>
    </row>
    <row r="28" spans="1:25" x14ac:dyDescent="0.25">
      <c r="A28" s="93"/>
      <c r="B28" s="1"/>
      <c r="C28" s="128"/>
      <c r="D28" s="71"/>
      <c r="E28" s="81"/>
      <c r="F28" s="27"/>
      <c r="G28" s="27"/>
      <c r="H28" s="13"/>
      <c r="I28" s="27"/>
      <c r="J28" s="27"/>
      <c r="K28" s="27"/>
      <c r="L28" s="13"/>
      <c r="M28" s="63"/>
      <c r="N28" s="27"/>
      <c r="O28" s="129"/>
      <c r="P28" s="130"/>
      <c r="Q28" s="28"/>
      <c r="R28" s="131"/>
      <c r="S28" s="132"/>
      <c r="T28" s="132"/>
      <c r="U28" s="110"/>
      <c r="V28" s="78"/>
      <c r="W28" s="121"/>
    </row>
    <row r="29" spans="1:25" x14ac:dyDescent="0.25">
      <c r="A29" s="133" t="s">
        <v>41</v>
      </c>
      <c r="B29" s="1"/>
      <c r="C29" s="25">
        <f>'[1]2019SpendPlan'!W24</f>
        <v>31333.02</v>
      </c>
      <c r="D29" s="71"/>
      <c r="E29" s="81">
        <f>942.2+327.4</f>
        <v>1269.5999999999999</v>
      </c>
      <c r="F29" s="27">
        <v>717.93</v>
      </c>
      <c r="G29" s="27">
        <v>1669.3</v>
      </c>
      <c r="H29" s="27">
        <v>1320.24</v>
      </c>
      <c r="I29" s="27">
        <v>2255.92</v>
      </c>
      <c r="J29" s="27">
        <f>9397.13-2372.79</f>
        <v>7024.3399999999992</v>
      </c>
      <c r="K29" s="27">
        <f>758.1-695.22</f>
        <v>62.879999999999995</v>
      </c>
      <c r="L29" s="27">
        <v>0</v>
      </c>
      <c r="M29" s="27">
        <v>0</v>
      </c>
      <c r="N29" s="27">
        <v>0</v>
      </c>
      <c r="O29" s="26">
        <v>0</v>
      </c>
      <c r="P29" s="134">
        <v>0</v>
      </c>
      <c r="Q29" s="28"/>
      <c r="R29" s="29">
        <f>SUM(E29:P29)</f>
        <v>14320.209999999997</v>
      </c>
      <c r="S29" s="76">
        <f>C29-R29</f>
        <v>17012.810000000005</v>
      </c>
      <c r="T29" s="76"/>
      <c r="U29" s="110"/>
      <c r="V29" s="78"/>
      <c r="W29" s="121"/>
      <c r="X29" s="78"/>
    </row>
    <row r="30" spans="1:25" x14ac:dyDescent="0.25">
      <c r="A30" s="133" t="s">
        <v>42</v>
      </c>
      <c r="B30" s="1"/>
      <c r="C30" s="25">
        <f>'[1]2019SpendPlan'!W25</f>
        <v>-7415</v>
      </c>
      <c r="D30" s="135"/>
      <c r="E30" s="136"/>
      <c r="F30" s="26">
        <v>3606.1</v>
      </c>
      <c r="G30" s="27"/>
      <c r="H30" s="27"/>
      <c r="I30" s="27"/>
      <c r="J30" s="27"/>
      <c r="K30" s="27"/>
      <c r="L30" s="27"/>
      <c r="M30" s="27"/>
      <c r="N30" s="27"/>
      <c r="O30" s="26"/>
      <c r="P30" s="134"/>
      <c r="Q30" s="28"/>
      <c r="R30" s="29">
        <f t="shared" ref="R30:R32" si="8">SUM(E30:P30)</f>
        <v>3606.1</v>
      </c>
      <c r="S30" s="76">
        <f>C30-R30</f>
        <v>-11021.1</v>
      </c>
      <c r="T30" s="76"/>
      <c r="U30" s="110"/>
      <c r="V30" s="78"/>
      <c r="X30" s="78"/>
    </row>
    <row r="31" spans="1:25" x14ac:dyDescent="0.25">
      <c r="A31" s="133" t="s">
        <v>43</v>
      </c>
      <c r="B31" s="1"/>
      <c r="C31" s="25">
        <f>'[1]2019SpendPlan'!W26</f>
        <v>23286.059999999998</v>
      </c>
      <c r="D31" s="135"/>
      <c r="E31" s="81">
        <v>871.73</v>
      </c>
      <c r="F31" s="27">
        <v>5584.82</v>
      </c>
      <c r="G31" s="27">
        <v>7912.26</v>
      </c>
      <c r="H31" s="27">
        <v>8622.31</v>
      </c>
      <c r="I31" s="27">
        <v>7616.49</v>
      </c>
      <c r="J31" s="27">
        <v>2372.79</v>
      </c>
      <c r="K31" s="27">
        <v>695.22</v>
      </c>
      <c r="L31" s="27">
        <v>0</v>
      </c>
      <c r="M31" s="27">
        <v>0</v>
      </c>
      <c r="N31" s="27">
        <v>0</v>
      </c>
      <c r="O31" s="26">
        <v>0</v>
      </c>
      <c r="P31" s="134">
        <v>0</v>
      </c>
      <c r="Q31" s="28"/>
      <c r="R31" s="29">
        <f t="shared" si="8"/>
        <v>33675.620000000003</v>
      </c>
      <c r="S31" s="76">
        <f t="shared" ref="S31:S32" si="9">C31-R31</f>
        <v>-10389.560000000005</v>
      </c>
      <c r="T31" s="76"/>
      <c r="U31" s="110"/>
      <c r="V31" s="78"/>
      <c r="X31" s="78"/>
    </row>
    <row r="32" spans="1:25" x14ac:dyDescent="0.25">
      <c r="A32" s="133" t="s">
        <v>44</v>
      </c>
      <c r="B32" s="1"/>
      <c r="C32" s="87">
        <f>'[1]2019SpendPlan'!W27</f>
        <v>-381.5</v>
      </c>
      <c r="D32" s="135"/>
      <c r="E32" s="81"/>
      <c r="F32" s="27"/>
      <c r="G32" s="27">
        <v>100</v>
      </c>
      <c r="H32" s="27"/>
      <c r="I32" s="27"/>
      <c r="J32" s="27"/>
      <c r="K32" s="27"/>
      <c r="L32" s="13"/>
      <c r="M32" s="63"/>
      <c r="N32" s="27"/>
      <c r="O32" s="137"/>
      <c r="P32" s="130"/>
      <c r="Q32" s="28"/>
      <c r="R32" s="29">
        <f t="shared" si="8"/>
        <v>100</v>
      </c>
      <c r="S32" s="76">
        <f t="shared" si="9"/>
        <v>-481.5</v>
      </c>
      <c r="T32" s="76"/>
      <c r="U32" s="110"/>
      <c r="V32" s="78"/>
      <c r="X32" s="78"/>
    </row>
    <row r="33" spans="1:25" x14ac:dyDescent="0.25">
      <c r="A33" s="93" t="s">
        <v>45</v>
      </c>
      <c r="B33" s="1"/>
      <c r="C33" s="25">
        <f>SUM(C29:C32)</f>
        <v>46822.58</v>
      </c>
      <c r="D33" s="135"/>
      <c r="E33" s="81"/>
      <c r="F33" s="27"/>
      <c r="G33" s="13"/>
      <c r="H33" s="13"/>
      <c r="I33" s="27"/>
      <c r="J33" s="27"/>
      <c r="K33" s="27"/>
      <c r="L33" s="13"/>
      <c r="M33" s="63"/>
      <c r="N33" s="27"/>
      <c r="O33" s="129"/>
      <c r="P33" s="130"/>
      <c r="Q33" s="28"/>
      <c r="R33" s="138">
        <f>SUM(R29:R32)</f>
        <v>51701.93</v>
      </c>
      <c r="S33" s="139">
        <f>SUM(S29:S32)</f>
        <v>-4879.3500000000004</v>
      </c>
      <c r="T33" s="139"/>
      <c r="U33" s="110"/>
      <c r="V33" s="78"/>
      <c r="X33" s="78"/>
      <c r="Y33" s="122"/>
    </row>
    <row r="34" spans="1:25" x14ac:dyDescent="0.25">
      <c r="A34" s="93"/>
      <c r="B34" s="1"/>
      <c r="C34" s="128"/>
      <c r="D34" s="135"/>
      <c r="E34" s="81"/>
      <c r="F34" s="27"/>
      <c r="G34" s="13"/>
      <c r="H34" s="13"/>
      <c r="I34" s="27"/>
      <c r="J34" s="27"/>
      <c r="K34" s="27"/>
      <c r="L34" s="13"/>
      <c r="M34" s="63"/>
      <c r="N34" s="27"/>
      <c r="O34" s="129"/>
      <c r="P34" s="130"/>
      <c r="Q34" s="28"/>
      <c r="R34" s="140"/>
      <c r="S34" s="132"/>
      <c r="T34" s="132"/>
      <c r="U34" s="110"/>
      <c r="V34" s="78"/>
    </row>
    <row r="35" spans="1:25" hidden="1" x14ac:dyDescent="0.25">
      <c r="A35" s="105" t="s">
        <v>46</v>
      </c>
      <c r="B35" s="106"/>
      <c r="C35" s="141"/>
      <c r="D35" s="142"/>
      <c r="E35" s="83"/>
      <c r="F35" s="84"/>
      <c r="G35" s="117"/>
      <c r="H35" s="117"/>
      <c r="I35" s="84"/>
      <c r="J35" s="84"/>
      <c r="K35" s="84"/>
      <c r="L35" s="117"/>
      <c r="M35" s="118"/>
      <c r="N35" s="84"/>
      <c r="O35" s="119"/>
      <c r="P35" s="143"/>
      <c r="Q35" s="109"/>
      <c r="R35" s="29">
        <f>SUM(E35:P35)</f>
        <v>0</v>
      </c>
      <c r="S35" s="76"/>
      <c r="T35" s="76"/>
      <c r="U35" s="110"/>
      <c r="V35" s="78"/>
      <c r="W35" s="121"/>
    </row>
    <row r="36" spans="1:25" hidden="1" x14ac:dyDescent="0.25">
      <c r="A36" s="105" t="s">
        <v>47</v>
      </c>
      <c r="B36" s="106"/>
      <c r="C36" s="141"/>
      <c r="D36" s="142"/>
      <c r="E36" s="83"/>
      <c r="F36" s="84"/>
      <c r="G36" s="117"/>
      <c r="H36" s="117"/>
      <c r="I36" s="84"/>
      <c r="J36" s="84"/>
      <c r="K36" s="84"/>
      <c r="L36" s="117"/>
      <c r="M36" s="118"/>
      <c r="N36" s="84"/>
      <c r="O36" s="119"/>
      <c r="P36" s="143"/>
      <c r="Q36" s="109"/>
      <c r="R36" s="29"/>
      <c r="S36" s="76"/>
      <c r="T36" s="76"/>
      <c r="U36" s="110"/>
      <c r="V36" s="78"/>
    </row>
    <row r="37" spans="1:25" hidden="1" x14ac:dyDescent="0.25">
      <c r="A37" s="105" t="s">
        <v>48</v>
      </c>
      <c r="B37" s="106"/>
      <c r="C37" s="126"/>
      <c r="D37" s="142"/>
      <c r="E37" s="83"/>
      <c r="F37" s="84"/>
      <c r="G37" s="117"/>
      <c r="H37" s="117"/>
      <c r="I37" s="84"/>
      <c r="J37" s="84"/>
      <c r="K37" s="84"/>
      <c r="L37" s="117"/>
      <c r="M37" s="118"/>
      <c r="N37" s="84"/>
      <c r="O37" s="119"/>
      <c r="P37" s="143"/>
      <c r="Q37" s="109"/>
      <c r="R37" s="29">
        <f>SUM(E37:P37)</f>
        <v>0</v>
      </c>
      <c r="S37" s="76"/>
      <c r="T37" s="76"/>
      <c r="U37" s="110"/>
      <c r="V37" s="78"/>
    </row>
    <row r="38" spans="1:25" hidden="1" x14ac:dyDescent="0.25">
      <c r="A38" s="105" t="s">
        <v>49</v>
      </c>
      <c r="B38" s="106"/>
      <c r="C38" s="126"/>
      <c r="D38" s="142"/>
      <c r="E38" s="83"/>
      <c r="F38" s="84"/>
      <c r="G38" s="117"/>
      <c r="H38" s="117"/>
      <c r="I38" s="84"/>
      <c r="J38" s="84"/>
      <c r="K38" s="84"/>
      <c r="L38" s="117"/>
      <c r="M38" s="118"/>
      <c r="N38" s="84"/>
      <c r="O38" s="119"/>
      <c r="P38" s="144"/>
      <c r="Q38" s="109"/>
      <c r="R38" s="29">
        <f>SUM(E38:P38)</f>
        <v>0</v>
      </c>
      <c r="S38" s="76"/>
      <c r="T38" s="76"/>
      <c r="U38" s="110"/>
      <c r="V38" s="78"/>
    </row>
    <row r="39" spans="1:25" x14ac:dyDescent="0.25">
      <c r="A39" s="105" t="s">
        <v>50</v>
      </c>
      <c r="B39" s="106"/>
      <c r="C39" s="145"/>
      <c r="D39" s="142"/>
      <c r="E39" s="83">
        <f>20490+1592.5</f>
        <v>22082.5</v>
      </c>
      <c r="F39" s="85">
        <v>802</v>
      </c>
      <c r="G39" s="84"/>
      <c r="H39" s="84">
        <v>3373.35</v>
      </c>
      <c r="I39" s="84"/>
      <c r="J39" s="84"/>
      <c r="K39" s="84"/>
      <c r="L39" s="84"/>
      <c r="M39" s="146"/>
      <c r="N39" s="84"/>
      <c r="O39" s="85">
        <v>6606.3</v>
      </c>
      <c r="P39" s="144"/>
      <c r="Q39" s="109"/>
      <c r="R39" s="29">
        <f>SUM(E39:O39)</f>
        <v>32864.15</v>
      </c>
      <c r="S39" s="91"/>
      <c r="T39" s="76"/>
      <c r="U39" s="110"/>
      <c r="V39" s="78"/>
    </row>
    <row r="40" spans="1:25" x14ac:dyDescent="0.25">
      <c r="A40" s="114" t="s">
        <v>39</v>
      </c>
      <c r="B40" s="106"/>
      <c r="C40" s="115">
        <f>'[1]2019SpendPlan'!W35</f>
        <v>79214.75</v>
      </c>
      <c r="D40" s="142"/>
      <c r="E40" s="83"/>
      <c r="F40" s="147"/>
      <c r="G40" s="84"/>
      <c r="H40" s="117"/>
      <c r="I40" s="84"/>
      <c r="J40" s="84"/>
      <c r="K40" s="84"/>
      <c r="L40" s="117"/>
      <c r="M40" s="118"/>
      <c r="N40" s="84"/>
      <c r="O40" s="119"/>
      <c r="P40" s="120"/>
      <c r="Q40" s="109"/>
      <c r="R40" s="148">
        <f>SUM(R35:R39)</f>
        <v>32864.15</v>
      </c>
      <c r="S40" s="76">
        <f>C40-R40</f>
        <v>46350.6</v>
      </c>
      <c r="T40" s="76"/>
      <c r="U40" s="110"/>
      <c r="V40" s="78"/>
      <c r="X40" s="78"/>
      <c r="Y40" s="122"/>
    </row>
    <row r="41" spans="1:25" x14ac:dyDescent="0.25">
      <c r="A41" s="149"/>
      <c r="B41" s="1"/>
      <c r="C41" s="150"/>
      <c r="D41" s="135"/>
      <c r="E41" s="81"/>
      <c r="F41" s="151"/>
      <c r="G41" s="27"/>
      <c r="H41" s="13"/>
      <c r="I41" s="27"/>
      <c r="J41" s="27"/>
      <c r="K41" s="27"/>
      <c r="L41" s="13"/>
      <c r="M41" s="63"/>
      <c r="N41" s="27"/>
      <c r="O41" s="129"/>
      <c r="P41" s="130"/>
      <c r="Q41" s="28"/>
      <c r="R41" s="140"/>
      <c r="S41" s="132"/>
      <c r="T41" s="132"/>
      <c r="U41" s="110"/>
      <c r="V41" s="78"/>
    </row>
    <row r="42" spans="1:25" ht="30" x14ac:dyDescent="0.25">
      <c r="A42" s="152" t="s">
        <v>51</v>
      </c>
      <c r="B42" s="1"/>
      <c r="C42" s="104"/>
      <c r="D42" s="71"/>
      <c r="E42" s="81"/>
      <c r="F42" s="27"/>
      <c r="G42" s="27"/>
      <c r="H42" s="27"/>
      <c r="I42" s="27">
        <v>84555.45</v>
      </c>
      <c r="J42" s="27"/>
      <c r="K42" s="27"/>
      <c r="L42" s="13"/>
      <c r="M42" s="63"/>
      <c r="N42" s="27"/>
      <c r="O42" s="129"/>
      <c r="P42" s="130"/>
      <c r="Q42" s="28"/>
      <c r="R42" s="29">
        <f>SUM(E42:P42)</f>
        <v>84555.45</v>
      </c>
      <c r="S42" s="132"/>
      <c r="T42" s="132"/>
      <c r="U42" s="110"/>
      <c r="V42" s="78"/>
      <c r="W42" s="121"/>
    </row>
    <row r="43" spans="1:25" ht="30" x14ac:dyDescent="0.25">
      <c r="A43" s="152" t="s">
        <v>52</v>
      </c>
      <c r="B43" s="1"/>
      <c r="C43" s="128"/>
      <c r="D43" s="153"/>
      <c r="E43" s="27"/>
      <c r="F43" s="27">
        <v>7281.29</v>
      </c>
      <c r="G43" s="13"/>
      <c r="H43" s="27">
        <v>5074.21</v>
      </c>
      <c r="I43" s="27"/>
      <c r="J43" s="27"/>
      <c r="K43" s="27"/>
      <c r="L43" s="27"/>
      <c r="M43" s="63"/>
      <c r="N43" s="27"/>
      <c r="O43" s="26">
        <v>21966.27</v>
      </c>
      <c r="P43" s="82">
        <v>2114.4</v>
      </c>
      <c r="Q43" s="28"/>
      <c r="R43" s="29">
        <f>SUM(E43:P43)</f>
        <v>36436.170000000006</v>
      </c>
      <c r="S43" s="132"/>
      <c r="T43" s="132"/>
      <c r="U43" s="110"/>
      <c r="V43" s="78"/>
    </row>
    <row r="44" spans="1:25" ht="30" x14ac:dyDescent="0.25">
      <c r="A44" s="152" t="s">
        <v>53</v>
      </c>
      <c r="D44" s="154"/>
      <c r="E44" s="56"/>
      <c r="F44" s="26">
        <v>948.27</v>
      </c>
      <c r="G44" s="26">
        <v>3120.91</v>
      </c>
      <c r="H44" s="27">
        <v>1004.45</v>
      </c>
      <c r="I44" s="27">
        <v>302.75</v>
      </c>
      <c r="J44" s="26">
        <v>2108.3000000000002</v>
      </c>
      <c r="K44" s="56"/>
      <c r="P44" s="155"/>
      <c r="R44" s="29">
        <f>SUM(E44:P44)</f>
        <v>7484.68</v>
      </c>
      <c r="S44" s="132"/>
      <c r="T44" s="132"/>
    </row>
    <row r="45" spans="1:25" x14ac:dyDescent="0.25">
      <c r="A45" s="93" t="s">
        <v>39</v>
      </c>
      <c r="B45" s="1"/>
      <c r="C45" s="25">
        <f>100066-'[1]2018SpendPlan'!R40</f>
        <v>85146.44</v>
      </c>
      <c r="D45" s="153"/>
      <c r="E45" s="27"/>
      <c r="F45" s="27"/>
      <c r="G45" s="13"/>
      <c r="H45" s="13"/>
      <c r="I45" s="27"/>
      <c r="J45" s="27"/>
      <c r="K45" s="27"/>
      <c r="L45" s="13"/>
      <c r="M45" s="63"/>
      <c r="N45" s="27"/>
      <c r="O45" s="129"/>
      <c r="P45" s="130"/>
      <c r="Q45" s="28"/>
      <c r="R45" s="138"/>
      <c r="S45" s="132"/>
      <c r="T45" s="132"/>
      <c r="U45" s="110"/>
      <c r="V45" s="78"/>
    </row>
    <row r="46" spans="1:25" x14ac:dyDescent="0.25">
      <c r="A46" s="1"/>
      <c r="B46" s="1"/>
      <c r="C46" s="2"/>
      <c r="D46" s="156"/>
      <c r="E46" s="12"/>
      <c r="F46" s="151"/>
      <c r="G46" s="12"/>
      <c r="H46" s="13"/>
      <c r="I46" s="13"/>
      <c r="J46" s="14"/>
      <c r="K46" s="14"/>
      <c r="L46" s="16"/>
      <c r="M46" s="157"/>
      <c r="N46" s="158"/>
      <c r="O46" s="15"/>
      <c r="P46" s="159"/>
      <c r="Q46" s="17"/>
      <c r="R46" s="160"/>
      <c r="S46" s="8"/>
      <c r="T46" s="8"/>
      <c r="U46" s="9"/>
    </row>
    <row r="47" spans="1:25" ht="30" x14ac:dyDescent="0.25">
      <c r="A47" s="161" t="s">
        <v>54</v>
      </c>
      <c r="B47" s="106"/>
      <c r="C47" s="115">
        <v>2875</v>
      </c>
      <c r="D47" s="162"/>
      <c r="E47" s="84"/>
      <c r="F47" s="84"/>
      <c r="G47" s="84"/>
      <c r="H47" s="84"/>
      <c r="I47" s="84"/>
      <c r="J47" s="163"/>
      <c r="K47" s="84"/>
      <c r="L47" s="84"/>
      <c r="M47" s="118"/>
      <c r="N47" s="84"/>
      <c r="O47" s="119"/>
      <c r="P47" s="120"/>
      <c r="Q47" s="109"/>
      <c r="R47" s="164">
        <f>SUM(E47:P47)</f>
        <v>0</v>
      </c>
      <c r="S47" s="165"/>
      <c r="T47" s="165"/>
      <c r="U47" s="166"/>
    </row>
    <row r="48" spans="1:25" x14ac:dyDescent="0.25">
      <c r="A48" s="93"/>
      <c r="B48" s="1"/>
      <c r="C48" s="2"/>
      <c r="D48" s="167"/>
      <c r="E48" s="27"/>
      <c r="F48" s="27"/>
      <c r="G48" s="13"/>
      <c r="H48" s="13"/>
      <c r="I48" s="27"/>
      <c r="J48" s="14"/>
      <c r="K48" s="27"/>
      <c r="L48" s="13"/>
      <c r="M48" s="63"/>
      <c r="N48" s="27"/>
      <c r="O48" s="129"/>
      <c r="P48" s="130"/>
      <c r="Q48" s="28"/>
      <c r="R48" s="168"/>
      <c r="S48" s="169"/>
      <c r="T48" s="169"/>
      <c r="U48" s="166"/>
      <c r="V48" s="78"/>
    </row>
    <row r="49" spans="1:22" x14ac:dyDescent="0.25">
      <c r="A49" s="104" t="s">
        <v>55</v>
      </c>
      <c r="B49" s="1"/>
      <c r="C49" s="2"/>
      <c r="D49" s="167"/>
      <c r="E49" s="27"/>
      <c r="F49" s="27"/>
      <c r="G49" s="13"/>
      <c r="H49" s="13"/>
      <c r="I49" s="27">
        <v>34040.69</v>
      </c>
      <c r="J49" s="170"/>
      <c r="K49" s="27"/>
      <c r="L49" s="13"/>
      <c r="M49" s="63"/>
      <c r="N49" s="27"/>
      <c r="O49" s="129"/>
      <c r="P49" s="130"/>
      <c r="Q49" s="28"/>
      <c r="R49" s="29">
        <f>SUM(E49:P49)</f>
        <v>34040.69</v>
      </c>
      <c r="S49" s="169"/>
      <c r="T49" s="169"/>
      <c r="U49" s="166"/>
      <c r="V49" s="78"/>
    </row>
    <row r="50" spans="1:22" x14ac:dyDescent="0.25">
      <c r="A50" s="104" t="s">
        <v>56</v>
      </c>
      <c r="B50" s="1"/>
      <c r="C50" s="2"/>
      <c r="D50" s="167"/>
      <c r="E50" s="27"/>
      <c r="F50" s="27"/>
      <c r="G50" s="13"/>
      <c r="H50" s="13"/>
      <c r="I50" s="27"/>
      <c r="J50" s="26">
        <v>6500</v>
      </c>
      <c r="K50" s="27">
        <v>9750</v>
      </c>
      <c r="L50" s="27">
        <v>3250</v>
      </c>
      <c r="M50" s="27">
        <v>3250</v>
      </c>
      <c r="N50" s="27"/>
      <c r="O50" s="129"/>
      <c r="P50" s="130"/>
      <c r="Q50" s="28"/>
      <c r="R50" s="140">
        <f>SUM(E50:P50)</f>
        <v>22750</v>
      </c>
      <c r="S50" s="169"/>
      <c r="T50" s="169"/>
      <c r="U50" s="166"/>
      <c r="V50" s="78"/>
    </row>
    <row r="51" spans="1:22" x14ac:dyDescent="0.25">
      <c r="A51" s="104"/>
      <c r="B51" s="1"/>
      <c r="C51" s="2"/>
      <c r="D51" s="167"/>
      <c r="E51" s="27"/>
      <c r="F51" s="27"/>
      <c r="G51" s="13"/>
      <c r="H51" s="13"/>
      <c r="I51" s="27"/>
      <c r="J51" s="26"/>
      <c r="K51" s="27"/>
      <c r="L51" s="27"/>
      <c r="M51" s="27"/>
      <c r="N51" s="27"/>
      <c r="O51" s="129"/>
      <c r="P51" s="130"/>
      <c r="Q51" s="28"/>
      <c r="R51" s="140"/>
      <c r="S51" s="169"/>
      <c r="T51" s="169"/>
      <c r="U51" s="166"/>
      <c r="V51" s="78"/>
    </row>
    <row r="52" spans="1:22" x14ac:dyDescent="0.25">
      <c r="A52" s="104" t="s">
        <v>57</v>
      </c>
      <c r="B52" s="1"/>
      <c r="C52" s="2"/>
      <c r="D52" s="167"/>
      <c r="E52" s="89"/>
      <c r="F52" s="34"/>
      <c r="G52" s="171"/>
      <c r="H52" s="171"/>
      <c r="I52" s="34"/>
      <c r="J52" s="33"/>
      <c r="K52" s="34"/>
      <c r="L52" s="34"/>
      <c r="M52" s="34">
        <v>8312.51</v>
      </c>
      <c r="N52" s="34">
        <v>2384.04</v>
      </c>
      <c r="O52" s="172"/>
      <c r="P52" s="90">
        <v>1317.69</v>
      </c>
      <c r="Q52" s="28"/>
      <c r="R52" s="140">
        <f>SUM(E52:P52)</f>
        <v>12014.24</v>
      </c>
      <c r="S52" s="169"/>
      <c r="T52" s="169"/>
      <c r="U52" s="166"/>
      <c r="V52" s="78"/>
    </row>
    <row r="53" spans="1:22" x14ac:dyDescent="0.25">
      <c r="A53" s="37" t="s">
        <v>58</v>
      </c>
      <c r="B53" s="1"/>
      <c r="C53" s="2"/>
      <c r="D53" s="173"/>
      <c r="E53" s="89">
        <f t="shared" ref="E53:P53" si="10">SUM(E23:E52)</f>
        <v>28811.8</v>
      </c>
      <c r="F53" s="34">
        <f t="shared" si="10"/>
        <v>19399.84</v>
      </c>
      <c r="G53" s="34">
        <f t="shared" si="10"/>
        <v>60276.48000000001</v>
      </c>
      <c r="H53" s="34">
        <f t="shared" si="10"/>
        <v>85068.520000000019</v>
      </c>
      <c r="I53" s="34">
        <f t="shared" si="10"/>
        <v>130105.41</v>
      </c>
      <c r="J53" s="34">
        <f t="shared" si="10"/>
        <v>31289.62</v>
      </c>
      <c r="K53" s="34">
        <f t="shared" si="10"/>
        <v>20934.149999999998</v>
      </c>
      <c r="L53" s="34">
        <f t="shared" si="10"/>
        <v>14008.92</v>
      </c>
      <c r="M53" s="34">
        <f t="shared" si="10"/>
        <v>28481.58</v>
      </c>
      <c r="N53" s="34">
        <f t="shared" si="10"/>
        <v>10846.720000000001</v>
      </c>
      <c r="O53" s="34">
        <f t="shared" si="10"/>
        <v>38596.380000000005</v>
      </c>
      <c r="P53" s="34">
        <f t="shared" si="10"/>
        <v>15214.189999999999</v>
      </c>
      <c r="Q53" s="17"/>
      <c r="R53" s="138">
        <f>SUM(E53:P53)</f>
        <v>483033.61000000004</v>
      </c>
      <c r="S53" s="8"/>
      <c r="T53" s="8"/>
      <c r="U53" s="9"/>
    </row>
    <row r="54" spans="1:22" x14ac:dyDescent="0.25">
      <c r="A54" s="1"/>
      <c r="B54" s="1"/>
      <c r="C54" s="2"/>
      <c r="D54" s="174"/>
      <c r="E54" s="99"/>
      <c r="F54" s="175"/>
      <c r="G54" s="99"/>
      <c r="H54" s="13"/>
      <c r="I54" s="13"/>
      <c r="J54" s="176"/>
      <c r="K54" s="99"/>
      <c r="L54" s="99"/>
      <c r="M54" s="97"/>
      <c r="N54" s="16"/>
      <c r="O54" s="15"/>
      <c r="P54" s="97"/>
      <c r="Q54" s="17"/>
      <c r="S54" s="8"/>
      <c r="T54" s="8"/>
      <c r="U54" s="9"/>
    </row>
    <row r="55" spans="1:22" x14ac:dyDescent="0.25">
      <c r="A55" s="1"/>
      <c r="B55" s="1"/>
      <c r="C55" s="2"/>
      <c r="D55" s="174"/>
      <c r="E55" s="99"/>
      <c r="F55" s="175"/>
      <c r="G55" s="99"/>
      <c r="H55" s="13"/>
      <c r="I55" s="13"/>
      <c r="J55" s="176"/>
      <c r="K55" s="99"/>
      <c r="L55" s="99"/>
      <c r="M55" s="97"/>
      <c r="N55" s="16"/>
      <c r="O55" s="15"/>
      <c r="P55" s="97"/>
      <c r="Q55" s="17"/>
      <c r="S55" s="8"/>
      <c r="T55" s="8"/>
      <c r="U55" s="9"/>
    </row>
    <row r="56" spans="1:22" x14ac:dyDescent="0.25">
      <c r="A56" s="1"/>
      <c r="B56" s="1"/>
      <c r="C56" s="2"/>
      <c r="D56" s="174"/>
      <c r="E56" s="99"/>
      <c r="F56" s="175"/>
      <c r="G56" s="99"/>
      <c r="H56" s="13"/>
      <c r="I56" s="13"/>
      <c r="J56" s="176"/>
      <c r="K56" s="99"/>
      <c r="L56" s="99"/>
      <c r="M56" s="97"/>
      <c r="N56" s="16"/>
      <c r="O56" s="15"/>
      <c r="P56" s="97"/>
      <c r="Q56" s="17"/>
      <c r="S56" s="8"/>
      <c r="T56" s="8"/>
      <c r="U56" s="9"/>
    </row>
    <row r="57" spans="1:22" x14ac:dyDescent="0.25">
      <c r="A57" s="67" t="s">
        <v>59</v>
      </c>
      <c r="B57" s="1"/>
      <c r="C57" s="177">
        <v>594429.15</v>
      </c>
      <c r="D57" s="174"/>
      <c r="E57" s="178">
        <v>695617.69</v>
      </c>
      <c r="F57" s="179">
        <v>711303.62</v>
      </c>
      <c r="G57" s="179">
        <v>726023.81</v>
      </c>
      <c r="H57" s="179">
        <v>691271.2</v>
      </c>
      <c r="I57" s="179">
        <v>669537.54</v>
      </c>
      <c r="J57" s="179">
        <f>158556.16+135000+5.06+275796.05+411.29</f>
        <v>569768.56000000006</v>
      </c>
      <c r="K57" s="179">
        <f>746693.12-K58</f>
        <v>546618.30000000005</v>
      </c>
      <c r="L57" s="179">
        <v>535920.34</v>
      </c>
      <c r="M57" s="179">
        <f>570412.88-100037.41</f>
        <v>470375.47</v>
      </c>
      <c r="N57" s="179">
        <v>419916.58</v>
      </c>
      <c r="O57" s="179">
        <v>386219.94</v>
      </c>
      <c r="P57" s="180">
        <v>767586.86</v>
      </c>
      <c r="Q57" s="17"/>
      <c r="S57" s="8"/>
      <c r="T57" s="8"/>
      <c r="U57" s="9"/>
    </row>
    <row r="58" spans="1:22" x14ac:dyDescent="0.25">
      <c r="A58" s="181" t="s">
        <v>60</v>
      </c>
      <c r="B58" s="1"/>
      <c r="C58" s="25">
        <v>0</v>
      </c>
      <c r="D58" s="174"/>
      <c r="E58" s="81">
        <v>0</v>
      </c>
      <c r="F58" s="27">
        <v>200000</v>
      </c>
      <c r="G58" s="27">
        <v>200000</v>
      </c>
      <c r="H58" s="27">
        <v>200000</v>
      </c>
      <c r="I58" s="182">
        <v>200074.82</v>
      </c>
      <c r="J58" s="182">
        <f>100037.41+100037.41</f>
        <v>200074.82</v>
      </c>
      <c r="K58" s="182">
        <f>100037.41+100037.41</f>
        <v>200074.82</v>
      </c>
      <c r="L58" s="182">
        <v>100037.41</v>
      </c>
      <c r="M58" s="182">
        <v>100037.41</v>
      </c>
      <c r="N58" s="182">
        <v>100037</v>
      </c>
      <c r="O58" s="182">
        <v>100262.13</v>
      </c>
      <c r="P58" s="183">
        <v>100262.13</v>
      </c>
      <c r="Q58" s="17"/>
      <c r="S58" s="8"/>
      <c r="T58" s="8"/>
      <c r="U58" s="9"/>
    </row>
    <row r="59" spans="1:22" hidden="1" x14ac:dyDescent="0.25">
      <c r="A59" s="181" t="s">
        <v>61</v>
      </c>
      <c r="B59" s="1"/>
      <c r="C59" s="184">
        <v>454035.74</v>
      </c>
      <c r="D59" s="174"/>
      <c r="E59" s="89">
        <v>0</v>
      </c>
      <c r="F59" s="34"/>
      <c r="G59" s="34"/>
      <c r="H59" s="34">
        <v>3952.24</v>
      </c>
      <c r="I59" s="185"/>
      <c r="J59" s="185"/>
      <c r="K59" s="185"/>
      <c r="L59" s="185"/>
      <c r="M59" s="186"/>
      <c r="N59" s="185"/>
      <c r="O59" s="185"/>
      <c r="P59" s="187"/>
      <c r="Q59" s="17"/>
      <c r="S59" s="8"/>
      <c r="T59" s="8"/>
      <c r="U59" s="9"/>
    </row>
    <row r="60" spans="1:22" hidden="1" x14ac:dyDescent="0.25">
      <c r="A60" s="188" t="s">
        <v>62</v>
      </c>
      <c r="B60" s="1"/>
      <c r="C60" s="128"/>
      <c r="D60" s="174"/>
      <c r="E60" s="189"/>
      <c r="F60" s="34"/>
      <c r="G60" s="190"/>
      <c r="H60" s="34"/>
      <c r="I60" s="34"/>
      <c r="J60" s="34"/>
      <c r="K60" s="34"/>
      <c r="L60" s="34"/>
      <c r="M60" s="191"/>
      <c r="N60" s="34"/>
      <c r="O60" s="34"/>
      <c r="P60" s="192"/>
      <c r="Q60" s="17"/>
      <c r="S60" s="8"/>
      <c r="T60" s="8"/>
      <c r="U60" s="9"/>
    </row>
    <row r="61" spans="1:22" x14ac:dyDescent="0.25">
      <c r="A61" s="188"/>
      <c r="B61" s="1"/>
      <c r="C61" s="25">
        <f>SUM(C57:C60)</f>
        <v>1048464.89</v>
      </c>
      <c r="D61" s="174"/>
      <c r="E61" s="193">
        <f>SUM(E57:E59)</f>
        <v>695617.69</v>
      </c>
      <c r="F61" s="194">
        <f>SUM(F57:F59)</f>
        <v>911303.62</v>
      </c>
      <c r="G61" s="194">
        <f>SUM(G57:G59)</f>
        <v>926023.81</v>
      </c>
      <c r="H61" s="194">
        <f t="shared" ref="H61:N61" si="11">SUM(H57:H58)</f>
        <v>891271.2</v>
      </c>
      <c r="I61" s="194">
        <f t="shared" si="11"/>
        <v>869612.3600000001</v>
      </c>
      <c r="J61" s="194">
        <f t="shared" si="11"/>
        <v>769843.38000000012</v>
      </c>
      <c r="K61" s="194">
        <f t="shared" si="11"/>
        <v>746693.12000000011</v>
      </c>
      <c r="L61" s="194">
        <f t="shared" si="11"/>
        <v>635957.75</v>
      </c>
      <c r="M61" s="194">
        <f t="shared" si="11"/>
        <v>570412.88</v>
      </c>
      <c r="N61" s="194">
        <f t="shared" si="11"/>
        <v>519953.58</v>
      </c>
      <c r="O61" s="194">
        <f>SUM(O57:O58)</f>
        <v>486482.07</v>
      </c>
      <c r="P61" s="194">
        <f>SUM(P57:P58)</f>
        <v>867848.99</v>
      </c>
      <c r="Q61" s="17"/>
      <c r="S61" s="8"/>
      <c r="T61" s="8"/>
      <c r="U61" s="9"/>
    </row>
    <row r="62" spans="1:22" x14ac:dyDescent="0.25">
      <c r="A62" s="1"/>
      <c r="B62" s="1"/>
      <c r="C62" s="2"/>
      <c r="D62" s="174"/>
      <c r="E62" s="99"/>
      <c r="F62" s="175"/>
      <c r="G62" s="99"/>
      <c r="H62" s="13"/>
      <c r="I62" s="27"/>
      <c r="J62" s="176"/>
      <c r="K62" s="99"/>
      <c r="L62" s="99"/>
      <c r="M62" s="97"/>
      <c r="N62" s="16"/>
      <c r="O62" s="195"/>
      <c r="P62" s="97"/>
      <c r="Q62" s="17"/>
      <c r="S62" s="8"/>
      <c r="T62" s="8"/>
      <c r="U62" s="9"/>
    </row>
    <row r="63" spans="1:22" ht="30" x14ac:dyDescent="0.25">
      <c r="A63" s="67" t="s">
        <v>63</v>
      </c>
      <c r="B63" s="1"/>
      <c r="C63" s="196" t="s">
        <v>64</v>
      </c>
      <c r="D63" s="174"/>
      <c r="E63" s="99"/>
      <c r="F63" s="175"/>
      <c r="G63" s="99"/>
      <c r="H63" s="13"/>
      <c r="I63" s="27"/>
      <c r="J63" s="176"/>
      <c r="K63" s="99"/>
      <c r="L63" s="99"/>
      <c r="M63" s="97"/>
      <c r="N63" s="16"/>
      <c r="O63" s="197"/>
      <c r="P63" s="97"/>
      <c r="Q63" s="17"/>
      <c r="S63" s="8"/>
      <c r="T63" s="8"/>
      <c r="U63" s="9"/>
    </row>
    <row r="64" spans="1:22" x14ac:dyDescent="0.25">
      <c r="A64" s="188" t="s">
        <v>65</v>
      </c>
      <c r="B64" s="1"/>
      <c r="C64" s="177">
        <v>167080.44</v>
      </c>
      <c r="D64" s="71">
        <f>100000+65682</f>
        <v>165682</v>
      </c>
      <c r="E64" s="178">
        <v>329900.34000000003</v>
      </c>
      <c r="F64" s="179">
        <v>203043.92</v>
      </c>
      <c r="G64" s="179">
        <v>192690.16</v>
      </c>
      <c r="H64" s="179">
        <v>182270.79</v>
      </c>
      <c r="I64" s="179">
        <v>236353.85</v>
      </c>
      <c r="J64" s="179">
        <v>126834.41</v>
      </c>
      <c r="K64" s="179">
        <v>114328.88</v>
      </c>
      <c r="L64" s="179">
        <v>110383.66</v>
      </c>
      <c r="M64" s="179">
        <v>107133.66</v>
      </c>
      <c r="N64" s="179">
        <v>91816.7</v>
      </c>
      <c r="O64" s="26">
        <v>69466.39</v>
      </c>
      <c r="P64" s="180">
        <v>44943.82</v>
      </c>
      <c r="Q64" s="17"/>
      <c r="S64" s="8"/>
      <c r="T64" s="8"/>
      <c r="U64" s="9"/>
    </row>
    <row r="65" spans="1:21" x14ac:dyDescent="0.25">
      <c r="A65" s="188" t="s">
        <v>66</v>
      </c>
      <c r="B65" s="1"/>
      <c r="C65" s="184">
        <v>69820.5</v>
      </c>
      <c r="D65" s="71">
        <v>29000</v>
      </c>
      <c r="E65" s="81">
        <v>98820.5</v>
      </c>
      <c r="F65" s="27">
        <v>98820.5</v>
      </c>
      <c r="G65" s="27">
        <v>98820.5</v>
      </c>
      <c r="H65" s="27">
        <v>98820.5</v>
      </c>
      <c r="I65" s="27">
        <v>98820.5</v>
      </c>
      <c r="J65" s="27">
        <v>98868.93</v>
      </c>
      <c r="K65" s="27">
        <v>98868.93</v>
      </c>
      <c r="L65" s="27">
        <v>98868.93</v>
      </c>
      <c r="M65" s="27">
        <v>91185.66</v>
      </c>
      <c r="N65" s="27">
        <v>88172.38</v>
      </c>
      <c r="O65" s="26">
        <v>88172.38</v>
      </c>
      <c r="P65" s="82">
        <v>86892.04</v>
      </c>
      <c r="Q65" s="17"/>
      <c r="S65" s="8"/>
      <c r="T65" s="8"/>
      <c r="U65" s="9"/>
    </row>
    <row r="66" spans="1:21" x14ac:dyDescent="0.25">
      <c r="A66" s="188" t="s">
        <v>60</v>
      </c>
      <c r="B66" s="1"/>
      <c r="C66" s="184">
        <v>1038277.51</v>
      </c>
      <c r="D66" s="198"/>
      <c r="E66" s="81">
        <v>1040486.83</v>
      </c>
      <c r="F66" s="27">
        <v>1141590.3799999999</v>
      </c>
      <c r="G66" s="27">
        <v>1143245.71</v>
      </c>
      <c r="H66" s="27">
        <v>1143245.71</v>
      </c>
      <c r="I66" s="27">
        <v>1043245.71</v>
      </c>
      <c r="J66" s="27">
        <v>1043245.71</v>
      </c>
      <c r="K66" s="27">
        <f>1260961.76-K65-K64</f>
        <v>1047763.9500000001</v>
      </c>
      <c r="L66" s="27">
        <v>1052096.93</v>
      </c>
      <c r="M66" s="27">
        <v>1052096.93</v>
      </c>
      <c r="N66" s="27">
        <v>1052096.93</v>
      </c>
      <c r="O66" s="26">
        <v>1052096.93</v>
      </c>
      <c r="P66" s="82">
        <v>1054944.04</v>
      </c>
      <c r="Q66" s="17"/>
      <c r="S66" s="8"/>
      <c r="T66" s="8"/>
      <c r="U66" s="9"/>
    </row>
    <row r="67" spans="1:21" x14ac:dyDescent="0.25">
      <c r="A67" s="188" t="s">
        <v>67</v>
      </c>
      <c r="B67" s="1"/>
      <c r="C67" s="184">
        <v>84516.1</v>
      </c>
      <c r="D67" s="71">
        <v>143334</v>
      </c>
      <c r="E67" s="81">
        <v>223797.98</v>
      </c>
      <c r="F67" s="27">
        <v>223797.98</v>
      </c>
      <c r="G67" s="27">
        <v>177130.83</v>
      </c>
      <c r="H67" s="27">
        <v>174657.9</v>
      </c>
      <c r="I67" s="27">
        <v>108856.47</v>
      </c>
      <c r="J67" s="27">
        <v>102165.61</v>
      </c>
      <c r="K67" s="27">
        <v>92444.160000000003</v>
      </c>
      <c r="L67" s="27">
        <v>81391.600000000006</v>
      </c>
      <c r="M67" s="27">
        <v>73554.94</v>
      </c>
      <c r="N67" s="27">
        <v>55117.06</v>
      </c>
      <c r="O67" s="26">
        <v>46483.4</v>
      </c>
      <c r="P67" s="82">
        <v>33013.9</v>
      </c>
      <c r="Q67" s="17"/>
      <c r="S67" s="8"/>
      <c r="T67" s="8"/>
      <c r="U67" s="9"/>
    </row>
    <row r="68" spans="1:21" x14ac:dyDescent="0.25">
      <c r="A68" s="188" t="s">
        <v>68</v>
      </c>
      <c r="B68" s="1"/>
      <c r="C68" s="199">
        <v>5.07</v>
      </c>
      <c r="D68" s="71"/>
      <c r="E68" s="89">
        <v>5.07</v>
      </c>
      <c r="F68" s="34">
        <v>5.07</v>
      </c>
      <c r="G68" s="34">
        <v>5.07</v>
      </c>
      <c r="H68" s="34">
        <v>5.07</v>
      </c>
      <c r="I68" s="34">
        <v>5.07</v>
      </c>
      <c r="J68" s="34">
        <v>5.07</v>
      </c>
      <c r="K68" s="34">
        <v>5.077</v>
      </c>
      <c r="L68" s="34">
        <v>5.07</v>
      </c>
      <c r="M68" s="34">
        <v>5.07</v>
      </c>
      <c r="N68" s="34">
        <v>5</v>
      </c>
      <c r="O68" s="33">
        <v>5.07</v>
      </c>
      <c r="P68" s="90">
        <v>5.07</v>
      </c>
      <c r="Q68" s="17"/>
      <c r="S68" s="8"/>
      <c r="T68" s="8"/>
      <c r="U68" s="9"/>
    </row>
    <row r="69" spans="1:21" x14ac:dyDescent="0.25">
      <c r="A69" s="1"/>
      <c r="B69" s="1"/>
      <c r="C69" s="25"/>
      <c r="D69" s="174"/>
      <c r="E69" s="27">
        <f t="shared" ref="E69:P69" si="12">SUM(E64:E68)</f>
        <v>1693010.72</v>
      </c>
      <c r="F69" s="27">
        <f t="shared" si="12"/>
        <v>1667257.8499999999</v>
      </c>
      <c r="G69" s="27">
        <f t="shared" si="12"/>
        <v>1611892.2700000003</v>
      </c>
      <c r="H69" s="27">
        <f t="shared" si="12"/>
        <v>1598999.97</v>
      </c>
      <c r="I69" s="27">
        <f t="shared" si="12"/>
        <v>1487281.6</v>
      </c>
      <c r="J69" s="27">
        <f t="shared" si="12"/>
        <v>1371119.7300000002</v>
      </c>
      <c r="K69" s="27">
        <f t="shared" si="12"/>
        <v>1353410.997</v>
      </c>
      <c r="L69" s="27">
        <f t="shared" si="12"/>
        <v>1342746.1900000002</v>
      </c>
      <c r="M69" s="27">
        <f t="shared" si="12"/>
        <v>1323976.26</v>
      </c>
      <c r="N69" s="27">
        <f t="shared" si="12"/>
        <v>1287208.07</v>
      </c>
      <c r="O69" s="27">
        <f t="shared" si="12"/>
        <v>1256224.17</v>
      </c>
      <c r="P69" s="27">
        <f t="shared" si="12"/>
        <v>1219798.8699999999</v>
      </c>
      <c r="Q69" s="17"/>
      <c r="S69" s="8"/>
      <c r="T69" s="8"/>
      <c r="U69" s="9"/>
    </row>
    <row r="70" spans="1:21" x14ac:dyDescent="0.25">
      <c r="A70" s="188"/>
      <c r="D70" s="10"/>
      <c r="E70" s="200"/>
      <c r="F70" s="200"/>
      <c r="G70" s="200"/>
      <c r="I70" s="201"/>
      <c r="J70" s="202"/>
      <c r="K70" s="200"/>
      <c r="L70" s="203"/>
      <c r="M70" s="200"/>
      <c r="O70" s="17"/>
      <c r="P70" s="200"/>
      <c r="Q70" s="17"/>
      <c r="S70" s="8"/>
      <c r="T70" s="8"/>
      <c r="U70" s="9"/>
    </row>
    <row r="71" spans="1:21" x14ac:dyDescent="0.25">
      <c r="C71" s="204"/>
      <c r="D71" s="10"/>
      <c r="E71" s="95"/>
      <c r="F71" s="10"/>
      <c r="G71" s="205"/>
      <c r="J71" s="206"/>
      <c r="K71" s="10"/>
      <c r="L71" s="203"/>
      <c r="M71" s="10"/>
      <c r="P71" s="207"/>
    </row>
    <row r="72" spans="1:21" x14ac:dyDescent="0.25">
      <c r="D72" s="10"/>
      <c r="E72" s="10"/>
      <c r="F72" s="10"/>
      <c r="G72" s="208"/>
      <c r="J72" s="209"/>
      <c r="K72" s="10"/>
      <c r="L72" s="203"/>
      <c r="M72" s="10"/>
      <c r="P72" s="207"/>
    </row>
    <row r="73" spans="1:21" x14ac:dyDescent="0.25">
      <c r="D73" s="10"/>
      <c r="E73" s="10"/>
      <c r="F73" s="10"/>
      <c r="G73" s="208"/>
      <c r="J73" s="209"/>
      <c r="K73" s="10"/>
      <c r="L73" s="203"/>
      <c r="M73" s="10"/>
      <c r="P73" s="207"/>
    </row>
  </sheetData>
  <mergeCells count="2">
    <mergeCell ref="E10:P10"/>
    <mergeCell ref="E22:P2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Kimber</cp:lastModifiedBy>
  <dcterms:created xsi:type="dcterms:W3CDTF">2021-02-02T21:01:06Z</dcterms:created>
  <dcterms:modified xsi:type="dcterms:W3CDTF">2021-02-02T21:04:48Z</dcterms:modified>
</cp:coreProperties>
</file>